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43" activeTab="1"/>
  </bookViews>
  <sheets>
    <sheet name="Предварительный" sheetId="1" r:id="rId1"/>
    <sheet name="ИШР" sheetId="2" r:id="rId2"/>
    <sheet name="Коррекция скорости" sheetId="3" r:id="rId3"/>
  </sheets>
  <definedNames>
    <definedName name="_xlnm.Print_Area" localSheetId="1">'ИШР'!$B$3:$P$22</definedName>
    <definedName name="_xlnm.Print_Area" localSheetId="2">'Коррекция скорости'!$A$1:$AA$17</definedName>
  </definedNames>
  <calcPr fullCalcOnLoad="1"/>
</workbook>
</file>

<file path=xl/sharedStrings.xml><?xml version="1.0" encoding="utf-8"?>
<sst xmlns="http://schemas.openxmlformats.org/spreadsheetml/2006/main" count="116" uniqueCount="114">
  <si>
    <t>Лист предварительного упрощенного расчета</t>
  </si>
  <si>
    <t>Расход топлива на высоте в установ режиме 610кг/ч (10.5 кг/мин)</t>
  </si>
  <si>
    <t>Системы обогрева и вентиляции дополнительно 2%</t>
  </si>
  <si>
    <t>Полное ПОС-ПЗУ дополнительно 6%</t>
  </si>
  <si>
    <t>Все подвески — добавить 70кг/ч</t>
  </si>
  <si>
    <t>Скорость набора макс.масса верт. при выкл ПОС t &lt;= 5 — 8 м/с, вкл ПОС — 5 м/с (рекомендуемые при скорости до 190км/ч для достижения макс дальности)</t>
  </si>
  <si>
    <t>Поправка</t>
  </si>
  <si>
    <t>Расход топлива на земле (рулении) 6-7 кг/мин</t>
  </si>
  <si>
    <t>Скорость</t>
  </si>
  <si>
    <t>Расход топлива на висении масса 9800кг — 710кг/ч</t>
  </si>
  <si>
    <t>учет обогрева</t>
  </si>
  <si>
    <t>Расход топлива на висении масса 10800кг — 760кг/ч</t>
  </si>
  <si>
    <t>учет ПОС\ПЗУ</t>
  </si>
  <si>
    <t>Топливо — основные 1450, птб 4х440, АНЗ 220кг, невыраб ост 20 кг</t>
  </si>
  <si>
    <t>Мах V</t>
  </si>
  <si>
    <t>190 км/ч 8 м\с</t>
  </si>
  <si>
    <t>151 км/ч 10 м\с</t>
  </si>
  <si>
    <t>190 км/ч 5 м\с</t>
  </si>
  <si>
    <t>t наб/сниж мин</t>
  </si>
  <si>
    <t>путь км</t>
  </si>
  <si>
    <t>путь  км</t>
  </si>
  <si>
    <t>ввести</t>
  </si>
  <si>
    <t>Крейсерская возд скорость</t>
  </si>
  <si>
    <t>При попутном +15км/ч</t>
  </si>
  <si>
    <t>Высота  АЭ (м)</t>
  </si>
  <si>
    <t>Высота полета (м, при 760мм)</t>
  </si>
  <si>
    <t>В перелетах высоты использовать до 2600м</t>
  </si>
  <si>
    <t xml:space="preserve">Температура возд макс </t>
  </si>
  <si>
    <t>Температура от -50 до +50</t>
  </si>
  <si>
    <t>Дальность полета (км)</t>
  </si>
  <si>
    <t>Макс доп V полета при норм массе</t>
  </si>
  <si>
    <t>Ориентировочное время полета (минут)</t>
  </si>
  <si>
    <t>Топлива 1450 кг, с 2 ПТБ — 2330, с 4 птб — 3210</t>
  </si>
  <si>
    <t>Наличие подвесок (1 -да 0 нет)</t>
  </si>
  <si>
    <t>Всего</t>
  </si>
  <si>
    <t>Висение в мин при макс массе</t>
  </si>
  <si>
    <t xml:space="preserve">Время в мин на земле </t>
  </si>
  <si>
    <t xml:space="preserve">Время в мин работы ПОС\ПЗУ </t>
  </si>
  <si>
    <t>Время в мин работы обогрева</t>
  </si>
  <si>
    <t>Топливо в наборе и снижении</t>
  </si>
  <si>
    <t>Топливо на маршруте</t>
  </si>
  <si>
    <t>Топлива с АНЗ и невыраб ост</t>
  </si>
  <si>
    <t>Из них в ПТБ 1-2</t>
  </si>
  <si>
    <t>С включ обогревом, ПОС/ПЗУ</t>
  </si>
  <si>
    <t>Из них в ПТБ 3-4</t>
  </si>
  <si>
    <t>Вводить белые поля. Желтые поля — искомое</t>
  </si>
  <si>
    <t>Ввести ветер м/с (попутный со знаком минус ), колонка не выводится на печать. При ветре к курсу с 30-60 градусов брать 50% скорости ветра, при боковом 60-90 - 20% скорости. В ячейку А19 ввести поправку в %% (от 0 до 20) для расчета времени</t>
  </si>
  <si>
    <t>Таблица расчитана на 2 ародрома (ППБ) и 10 ППМ. Печатается только итоговая таблица без ветра и лишних полей. Вводить данные в белые ячейки. Пр полете на эшелона выше 1200 метров по давлению 760 и температурах более +20 градусов скорость не должна превышать 245 по прибору (для вертикальных). При сильном встречном - времени запас брать до 20% по времени расчета.  В первой строке добавляется время на руление, взлет-посадку и маневры.Для увеличения ППМ — вставить строки и провести коррекцию фрмул в ячейках.</t>
  </si>
  <si>
    <t>Поправка с 10% запасом по t</t>
  </si>
  <si>
    <t>расход топлива</t>
  </si>
  <si>
    <t>Допустимая скорость по мах массе</t>
  </si>
  <si>
    <t>Расчетная скорость на участке c учетом ветра</t>
  </si>
  <si>
    <t>Время вылета</t>
  </si>
  <si>
    <t>ППМ</t>
  </si>
  <si>
    <t>Название</t>
  </si>
  <si>
    <t>координаты</t>
  </si>
  <si>
    <t>H м</t>
  </si>
  <si>
    <t>S км</t>
  </si>
  <si>
    <t>ЗПУ</t>
  </si>
  <si>
    <t>Время t</t>
  </si>
  <si>
    <t>Q расх</t>
  </si>
  <si>
    <t>Q запр</t>
  </si>
  <si>
    <t>Запасные</t>
  </si>
  <si>
    <t>прим</t>
  </si>
  <si>
    <t>ИМП</t>
  </si>
  <si>
    <t>Центральный</t>
  </si>
  <si>
    <t>N45 05,2</t>
  </si>
  <si>
    <t>E038 56,4</t>
  </si>
  <si>
    <t>=</t>
  </si>
  <si>
    <t>Волокно 122.0</t>
  </si>
  <si>
    <t>Усть-Лабинск NDB330</t>
  </si>
  <si>
    <t>N45 13,0</t>
  </si>
  <si>
    <t>E039 40,0</t>
  </si>
  <si>
    <t>URKK</t>
  </si>
  <si>
    <t>- Ростов «Кремний»</t>
  </si>
  <si>
    <t>Новоалексеевская ППБ</t>
  </si>
  <si>
    <t>N44 48,1</t>
  </si>
  <si>
    <t>E040 53,9</t>
  </si>
  <si>
    <t>-</t>
  </si>
  <si>
    <t>Ветка 120.3</t>
  </si>
  <si>
    <t>Невинномыск ППБ</t>
  </si>
  <si>
    <t>N44 38,1</t>
  </si>
  <si>
    <t>E041 49,0</t>
  </si>
  <si>
    <t>URMM</t>
  </si>
  <si>
    <t>Юнга 123.5</t>
  </si>
  <si>
    <t xml:space="preserve"> Рубеж через 10 мин</t>
  </si>
  <si>
    <t>- Кремний-Минводы</t>
  </si>
  <si>
    <t>Бештау</t>
  </si>
  <si>
    <t>N44 04,1</t>
  </si>
  <si>
    <t>E042 59,9</t>
  </si>
  <si>
    <t>Шпора 122.7</t>
  </si>
  <si>
    <t>Ульяновское ППБ</t>
  </si>
  <si>
    <t>N43 52,4</t>
  </si>
  <si>
    <t>E044 03,4</t>
  </si>
  <si>
    <t>XRMF, URMN</t>
  </si>
  <si>
    <t>Калитка 129.2</t>
  </si>
  <si>
    <t xml:space="preserve"> Рубеж через 15 мин после ППМ 5</t>
  </si>
  <si>
    <t>- Минводы-Расписка</t>
  </si>
  <si>
    <t>КПМ</t>
  </si>
  <si>
    <t>Моздок</t>
  </si>
  <si>
    <t>N43 47,5</t>
  </si>
  <si>
    <t>E044 36,0</t>
  </si>
  <si>
    <t>Расписка 137.0</t>
  </si>
  <si>
    <t>Всего:</t>
  </si>
  <si>
    <t>Vcр</t>
  </si>
  <si>
    <t>Всего топлива</t>
  </si>
  <si>
    <t>Топливо — учтено руление, подвески , АНЗ и висение. Детали задаются на листе «1»</t>
  </si>
  <si>
    <t>Таблица расчитана на 2 ародрома (ППБ) и 10 ППМ. Печатается только итоговая таблица без ветра и лишних полей. Вводить данные в белые ячейки. Пр полете на эшелона выше 1200 метров по давлению 760 и температурах более +20 градусов скорость не должна превышать 245 по прибору</t>
  </si>
  <si>
    <t>Расчет коррекции скорости по расстоянию и времени для выхода на цель. Желтые ячейки можно заменять</t>
  </si>
  <si>
    <t>Отставание сек</t>
  </si>
  <si>
    <t>V</t>
  </si>
  <si>
    <t>Опережение сек</t>
  </si>
  <si>
    <t>КИЛОМЕТРЫ</t>
  </si>
  <si>
    <t>Цвет значений менятеся в меню в пункте условного форматирования при выделении области скоростей с ячеек D4 по ячейку Z16, заданием максимальной скорости км/ч, минимальной скорости км/ч, предельного диапазона скорости от крейскорской до максимально допустипмой.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</si>
</sst>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HH:MM"/>
    <numFmt numFmtId="167" formatCode="HH:MM:SS"/>
    <numFmt numFmtId="168" formatCode="0.00"/>
    <numFmt numFmtId="169" formatCode="0"/>
  </numFmts>
  <fonts count="12">
    <font>
      <sz val="10"/>
      <name val="Arial"/>
      <family val="2"/>
    </font>
    <font>
      <sz val="10"/>
      <color indexed="10"/>
      <name val="Arial"/>
      <family val="2"/>
    </font>
    <font>
      <sz val="10"/>
      <color indexed="16"/>
      <name val="Arial"/>
      <family val="2"/>
    </font>
    <font>
      <sz val="10"/>
      <color indexed="2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8"/>
      <color indexed="20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24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Protection="0">
      <alignment horizontal="center" vertical="center"/>
    </xf>
    <xf numFmtId="164" fontId="2" fillId="0" borderId="0" applyNumberFormat="0" applyFill="0" applyBorder="0" applyProtection="0">
      <alignment horizontal="center" vertical="center"/>
    </xf>
    <xf numFmtId="164" fontId="3" fillId="0" borderId="0" applyNumberFormat="0" applyFill="0" applyBorder="0" applyProtection="0">
      <alignment horizontal="center" vertical="center"/>
    </xf>
    <xf numFmtId="164" fontId="0" fillId="0" borderId="0" applyNumberFormat="0" applyBorder="0" applyAlignment="0" applyProtection="0"/>
  </cellStyleXfs>
  <cellXfs count="134">
    <xf numFmtId="164" fontId="0" fillId="0" borderId="0" xfId="0" applyAlignment="1">
      <alignment/>
    </xf>
    <xf numFmtId="164" fontId="4" fillId="0" borderId="0" xfId="0" applyFont="1" applyAlignment="1">
      <alignment/>
    </xf>
    <xf numFmtId="164" fontId="5" fillId="0" borderId="0" xfId="0" applyFont="1" applyBorder="1" applyAlignment="1">
      <alignment horizontal="center" vertical="center"/>
    </xf>
    <xf numFmtId="164" fontId="6" fillId="0" borderId="0" xfId="0" applyFont="1" applyBorder="1" applyAlignment="1">
      <alignment horizontal="left" vertical="top"/>
    </xf>
    <xf numFmtId="164" fontId="6" fillId="0" borderId="0" xfId="0" applyFont="1" applyBorder="1" applyAlignment="1">
      <alignment/>
    </xf>
    <xf numFmtId="164" fontId="4" fillId="0" borderId="0" xfId="0" applyFont="1" applyAlignment="1">
      <alignment horizontal="right"/>
    </xf>
    <xf numFmtId="164" fontId="6" fillId="0" borderId="0" xfId="0" applyFont="1" applyBorder="1" applyAlignment="1">
      <alignment horizontal="left" vertical="top" wrapText="1"/>
    </xf>
    <xf numFmtId="164" fontId="4" fillId="2" borderId="0" xfId="0" applyFont="1" applyFill="1" applyAlignment="1">
      <alignment/>
    </xf>
    <xf numFmtId="164" fontId="6" fillId="2" borderId="1" xfId="0" applyFont="1" applyFill="1" applyBorder="1" applyAlignment="1">
      <alignment horizontal="center" vertical="center"/>
    </xf>
    <xf numFmtId="164" fontId="6" fillId="2" borderId="1" xfId="0" applyFont="1" applyFill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center" vertical="center" wrapText="1"/>
    </xf>
    <xf numFmtId="164" fontId="6" fillId="3" borderId="2" xfId="0" applyFont="1" applyFill="1" applyBorder="1" applyAlignment="1">
      <alignment horizontal="center"/>
    </xf>
    <xf numFmtId="164" fontId="6" fillId="3" borderId="1" xfId="0" applyNumberFormat="1" applyFont="1" applyFill="1" applyBorder="1" applyAlignment="1">
      <alignment horizontal="center"/>
    </xf>
    <xf numFmtId="164" fontId="6" fillId="3" borderId="1" xfId="0" applyFont="1" applyFill="1" applyBorder="1" applyAlignment="1">
      <alignment horizontal="center"/>
    </xf>
    <xf numFmtId="164" fontId="6" fillId="2" borderId="2" xfId="0" applyFont="1" applyFill="1" applyBorder="1" applyAlignment="1">
      <alignment horizontal="right"/>
    </xf>
    <xf numFmtId="164" fontId="6" fillId="4" borderId="2" xfId="0" applyFont="1" applyFill="1" applyBorder="1" applyAlignment="1">
      <alignment horizontal="center"/>
    </xf>
    <xf numFmtId="164" fontId="6" fillId="3" borderId="0" xfId="0" applyFont="1" applyFill="1" applyAlignment="1">
      <alignment horizontal="center"/>
    </xf>
    <xf numFmtId="164" fontId="6" fillId="2" borderId="3" xfId="0" applyFont="1" applyFill="1" applyBorder="1" applyAlignment="1">
      <alignment horizontal="right"/>
    </xf>
    <xf numFmtId="164" fontId="6" fillId="4" borderId="3" xfId="0" applyFont="1" applyFill="1" applyBorder="1" applyAlignment="1">
      <alignment horizontal="center"/>
    </xf>
    <xf numFmtId="164" fontId="6" fillId="4" borderId="1" xfId="0" applyFont="1" applyFill="1" applyBorder="1" applyAlignment="1">
      <alignment horizontal="center"/>
    </xf>
    <xf numFmtId="164" fontId="6" fillId="3" borderId="1" xfId="0" applyFont="1" applyFill="1" applyBorder="1" applyAlignment="1">
      <alignment/>
    </xf>
    <xf numFmtId="166" fontId="4" fillId="0" borderId="0" xfId="0" applyNumberFormat="1" applyFont="1" applyAlignment="1">
      <alignment/>
    </xf>
    <xf numFmtId="164" fontId="6" fillId="0" borderId="1" xfId="0" applyFont="1" applyBorder="1" applyAlignment="1">
      <alignment horizontal="center"/>
    </xf>
    <xf numFmtId="164" fontId="6" fillId="3" borderId="1" xfId="0" applyFont="1" applyFill="1" applyBorder="1" applyAlignment="1">
      <alignment/>
    </xf>
    <xf numFmtId="164" fontId="6" fillId="2" borderId="4" xfId="0" applyFont="1" applyFill="1" applyBorder="1" applyAlignment="1">
      <alignment horizontal="right"/>
    </xf>
    <xf numFmtId="164" fontId="6" fillId="4" borderId="4" xfId="0" applyFont="1" applyFill="1" applyBorder="1" applyAlignment="1">
      <alignment horizontal="center"/>
    </xf>
    <xf numFmtId="164" fontId="6" fillId="3" borderId="0" xfId="0" applyFont="1" applyFill="1" applyAlignment="1">
      <alignment/>
    </xf>
    <xf numFmtId="164" fontId="6" fillId="2" borderId="0" xfId="0" applyFont="1" applyFill="1" applyBorder="1" applyAlignment="1">
      <alignment horizontal="right"/>
    </xf>
    <xf numFmtId="164" fontId="6" fillId="5" borderId="1" xfId="0" applyFont="1" applyFill="1" applyBorder="1" applyAlignment="1">
      <alignment horizontal="center"/>
    </xf>
    <xf numFmtId="164" fontId="0" fillId="3" borderId="0" xfId="0" applyFill="1" applyAlignment="1">
      <alignment/>
    </xf>
    <xf numFmtId="164" fontId="7" fillId="5" borderId="5" xfId="0" applyFont="1" applyFill="1" applyBorder="1" applyAlignment="1">
      <alignment horizontal="right"/>
    </xf>
    <xf numFmtId="167" fontId="6" fillId="5" borderId="6" xfId="0" applyNumberFormat="1" applyFont="1" applyFill="1" applyBorder="1" applyAlignment="1">
      <alignment horizontal="center"/>
    </xf>
    <xf numFmtId="164" fontId="6" fillId="5" borderId="6" xfId="0" applyFont="1" applyFill="1" applyBorder="1" applyAlignment="1">
      <alignment horizontal="center"/>
    </xf>
    <xf numFmtId="167" fontId="6" fillId="5" borderId="7" xfId="0" applyNumberFormat="1" applyFont="1" applyFill="1" applyBorder="1" applyAlignment="1">
      <alignment horizontal="center"/>
    </xf>
    <xf numFmtId="164" fontId="6" fillId="6" borderId="0" xfId="0" applyFont="1" applyFill="1" applyBorder="1" applyAlignment="1">
      <alignment horizontal="center"/>
    </xf>
    <xf numFmtId="164" fontId="6" fillId="0" borderId="0" xfId="0" applyFont="1" applyAlignment="1">
      <alignment horizontal="center"/>
    </xf>
    <xf numFmtId="164" fontId="4" fillId="6" borderId="0" xfId="0" applyFont="1" applyFill="1" applyAlignment="1">
      <alignment horizontal="center"/>
    </xf>
    <xf numFmtId="164" fontId="4" fillId="6" borderId="0" xfId="0" applyFont="1" applyFill="1" applyAlignment="1">
      <alignment/>
    </xf>
    <xf numFmtId="164" fontId="6" fillId="4" borderId="0" xfId="0" applyFont="1" applyFill="1" applyAlignment="1">
      <alignment horizontal="center"/>
    </xf>
    <xf numFmtId="164" fontId="4" fillId="2" borderId="0" xfId="0" applyFont="1" applyFill="1" applyBorder="1" applyAlignment="1">
      <alignment/>
    </xf>
    <xf numFmtId="164" fontId="6" fillId="2" borderId="5" xfId="0" applyFont="1" applyFill="1" applyBorder="1" applyAlignment="1">
      <alignment/>
    </xf>
    <xf numFmtId="164" fontId="6" fillId="3" borderId="6" xfId="0" applyFont="1" applyFill="1" applyBorder="1" applyAlignment="1">
      <alignment/>
    </xf>
    <xf numFmtId="164" fontId="6" fillId="3" borderId="6" xfId="0" applyFont="1" applyFill="1" applyBorder="1" applyAlignment="1">
      <alignment horizontal="center"/>
    </xf>
    <xf numFmtId="164" fontId="6" fillId="3" borderId="7" xfId="0" applyFont="1" applyFill="1" applyBorder="1" applyAlignment="1">
      <alignment horizontal="center"/>
    </xf>
    <xf numFmtId="164" fontId="4" fillId="2" borderId="5" xfId="0" applyFont="1" applyFill="1" applyBorder="1" applyAlignment="1">
      <alignment/>
    </xf>
    <xf numFmtId="164" fontId="6" fillId="7" borderId="6" xfId="0" applyFont="1" applyFill="1" applyBorder="1" applyAlignment="1">
      <alignment horizontal="center"/>
    </xf>
    <xf numFmtId="164" fontId="6" fillId="7" borderId="7" xfId="0" applyFont="1" applyFill="1" applyBorder="1" applyAlignment="1">
      <alignment horizontal="center"/>
    </xf>
    <xf numFmtId="164" fontId="4" fillId="0" borderId="0" xfId="0" applyFont="1" applyBorder="1" applyAlignment="1">
      <alignment/>
    </xf>
    <xf numFmtId="164" fontId="4" fillId="0" borderId="0" xfId="0" applyFont="1" applyAlignment="1" applyProtection="1">
      <alignment/>
      <protection/>
    </xf>
    <xf numFmtId="164" fontId="4" fillId="0" borderId="0" xfId="0" applyFont="1" applyAlignment="1">
      <alignment horizontal="center"/>
    </xf>
    <xf numFmtId="167" fontId="4" fillId="0" borderId="0" xfId="0" applyNumberFormat="1" applyFont="1" applyAlignment="1">
      <alignment/>
    </xf>
    <xf numFmtId="164" fontId="4" fillId="2" borderId="1" xfId="0" applyFont="1" applyFill="1" applyBorder="1" applyAlignment="1" applyProtection="1">
      <alignment horizontal="center" vertical="top" wrapText="1"/>
      <protection/>
    </xf>
    <xf numFmtId="164" fontId="4" fillId="0" borderId="0" xfId="0" applyFont="1" applyBorder="1" applyAlignment="1" applyProtection="1">
      <alignment horizontal="center" vertical="top" wrapText="1"/>
      <protection/>
    </xf>
    <xf numFmtId="164" fontId="4" fillId="0" borderId="0" xfId="0" applyFont="1" applyAlignment="1" applyProtection="1">
      <alignment horizontal="center"/>
      <protection/>
    </xf>
    <xf numFmtId="164" fontId="0" fillId="0" borderId="0" xfId="0" applyAlignment="1" applyProtection="1">
      <alignment horizontal="center"/>
      <protection/>
    </xf>
    <xf numFmtId="164" fontId="0" fillId="0" borderId="0" xfId="0" applyAlignment="1" applyProtection="1">
      <alignment/>
      <protection/>
    </xf>
    <xf numFmtId="164" fontId="4" fillId="2" borderId="0" xfId="0" applyFont="1" applyFill="1" applyAlignment="1" applyProtection="1">
      <alignment horizontal="center"/>
      <protection/>
    </xf>
    <xf numFmtId="164" fontId="4" fillId="2" borderId="0" xfId="0" applyFont="1" applyFill="1" applyAlignment="1" applyProtection="1">
      <alignment/>
      <protection/>
    </xf>
    <xf numFmtId="164" fontId="4" fillId="2" borderId="0" xfId="0" applyFont="1" applyFill="1" applyBorder="1" applyAlignment="1">
      <alignment horizontal="center" vertical="center"/>
    </xf>
    <xf numFmtId="164" fontId="4" fillId="2" borderId="0" xfId="0" applyFont="1" applyFill="1" applyAlignment="1">
      <alignment horizontal="center" vertical="center"/>
    </xf>
    <xf numFmtId="164" fontId="6" fillId="2" borderId="5" xfId="0" applyFont="1" applyFill="1" applyBorder="1" applyAlignment="1">
      <alignment horizontal="left" vertical="center"/>
    </xf>
    <xf numFmtId="164" fontId="4" fillId="2" borderId="7" xfId="0" applyFont="1" applyFill="1" applyBorder="1" applyAlignment="1">
      <alignment vertical="center"/>
    </xf>
    <xf numFmtId="164" fontId="0" fillId="0" borderId="0" xfId="0" applyAlignment="1">
      <alignment vertical="center"/>
    </xf>
    <xf numFmtId="164" fontId="6" fillId="0" borderId="0" xfId="0" applyFont="1" applyBorder="1" applyAlignment="1">
      <alignment horizontal="center" vertical="center" wrapText="1"/>
    </xf>
    <xf numFmtId="164" fontId="4" fillId="0" borderId="0" xfId="0" applyFont="1" applyAlignment="1">
      <alignment horizontal="center" vertical="center" wrapText="1"/>
    </xf>
    <xf numFmtId="164" fontId="0" fillId="0" borderId="0" xfId="0" applyAlignment="1" applyProtection="1">
      <alignment vertical="center"/>
      <protection/>
    </xf>
    <xf numFmtId="164" fontId="4" fillId="0" borderId="0" xfId="0" applyFont="1" applyAlignment="1" applyProtection="1">
      <alignment vertical="center"/>
      <protection/>
    </xf>
    <xf numFmtId="164" fontId="4" fillId="0" borderId="0" xfId="0" applyFont="1" applyAlignment="1">
      <alignment vertical="center"/>
    </xf>
    <xf numFmtId="164" fontId="6" fillId="2" borderId="8" xfId="0" applyFont="1" applyFill="1" applyBorder="1" applyAlignment="1">
      <alignment horizontal="center" vertical="center"/>
    </xf>
    <xf numFmtId="164" fontId="6" fillId="2" borderId="2" xfId="0" applyFont="1" applyFill="1" applyBorder="1" applyAlignment="1">
      <alignment horizontal="center" vertical="center"/>
    </xf>
    <xf numFmtId="164" fontId="0" fillId="0" borderId="0" xfId="0" applyAlignment="1">
      <alignment horizontal="center" vertical="center"/>
    </xf>
    <xf numFmtId="164" fontId="4" fillId="2" borderId="1" xfId="0" applyFont="1" applyFill="1" applyBorder="1" applyAlignment="1">
      <alignment horizontal="center" vertical="center"/>
    </xf>
    <xf numFmtId="167" fontId="6" fillId="0" borderId="1" xfId="0" applyNumberFormat="1" applyFont="1" applyBorder="1" applyAlignment="1">
      <alignment horizontal="center" vertical="center"/>
    </xf>
    <xf numFmtId="164" fontId="4" fillId="0" borderId="0" xfId="0" applyFont="1" applyAlignment="1">
      <alignment horizontal="center" vertical="center"/>
    </xf>
    <xf numFmtId="164" fontId="6" fillId="0" borderId="1" xfId="0" applyFont="1" applyBorder="1" applyAlignment="1">
      <alignment horizontal="center" vertical="center"/>
    </xf>
    <xf numFmtId="164" fontId="4" fillId="0" borderId="1" xfId="0" applyFont="1" applyBorder="1" applyAlignment="1">
      <alignment horizontal="center" vertical="center"/>
    </xf>
    <xf numFmtId="164" fontId="6" fillId="8" borderId="1" xfId="0" applyFont="1" applyFill="1" applyBorder="1" applyAlignment="1">
      <alignment horizontal="center" vertical="center"/>
    </xf>
    <xf numFmtId="167" fontId="6" fillId="2" borderId="1" xfId="0" applyNumberFormat="1" applyFont="1" applyFill="1" applyBorder="1" applyAlignment="1">
      <alignment horizontal="center" vertical="center"/>
    </xf>
    <xf numFmtId="164" fontId="4" fillId="0" borderId="1" xfId="0" applyFont="1" applyBorder="1" applyAlignment="1">
      <alignment horizontal="left" vertical="center"/>
    </xf>
    <xf numFmtId="164" fontId="4" fillId="0" borderId="1" xfId="0" applyFont="1" applyBorder="1" applyAlignment="1">
      <alignment vertical="center"/>
    </xf>
    <xf numFmtId="164" fontId="4" fillId="4" borderId="0" xfId="0" applyFont="1" applyFill="1" applyAlignment="1">
      <alignment horizontal="center" vertical="center"/>
    </xf>
    <xf numFmtId="164" fontId="4" fillId="0" borderId="1" xfId="0" applyFont="1" applyBorder="1" applyAlignment="1" applyProtection="1">
      <alignment horizontal="center" vertical="center"/>
      <protection/>
    </xf>
    <xf numFmtId="167" fontId="6" fillId="8" borderId="1" xfId="0" applyNumberFormat="1" applyFont="1" applyFill="1" applyBorder="1" applyAlignment="1">
      <alignment horizontal="center" vertical="center"/>
    </xf>
    <xf numFmtId="167" fontId="8" fillId="4" borderId="0" xfId="0" applyNumberFormat="1" applyFont="1" applyFill="1" applyBorder="1" applyAlignment="1">
      <alignment horizontal="center" vertical="center"/>
    </xf>
    <xf numFmtId="164" fontId="4" fillId="0" borderId="1" xfId="0" applyNumberFormat="1" applyFont="1" applyBorder="1" applyAlignment="1" applyProtection="1">
      <alignment horizontal="center" vertical="center"/>
      <protection/>
    </xf>
    <xf numFmtId="167" fontId="4" fillId="4" borderId="0" xfId="0" applyNumberFormat="1" applyFont="1" applyFill="1" applyAlignment="1">
      <alignment horizontal="center" vertical="center"/>
    </xf>
    <xf numFmtId="164" fontId="6" fillId="0" borderId="1" xfId="0" applyFont="1" applyBorder="1" applyAlignment="1">
      <alignment vertical="center"/>
    </xf>
    <xf numFmtId="164" fontId="9" fillId="0" borderId="1" xfId="0" applyFont="1" applyBorder="1" applyAlignment="1">
      <alignment horizontal="right" vertical="center"/>
    </xf>
    <xf numFmtId="167" fontId="4" fillId="8" borderId="1" xfId="0" applyNumberFormat="1" applyFont="1" applyFill="1" applyBorder="1" applyAlignment="1">
      <alignment horizontal="center" vertical="center"/>
    </xf>
    <xf numFmtId="167" fontId="4" fillId="2" borderId="1" xfId="0" applyNumberFormat="1" applyFont="1" applyFill="1" applyBorder="1" applyAlignment="1">
      <alignment horizontal="center" vertical="center"/>
    </xf>
    <xf numFmtId="167" fontId="4" fillId="0" borderId="0" xfId="0" applyNumberFormat="1" applyFont="1" applyAlignment="1">
      <alignment horizontal="center" vertical="center"/>
    </xf>
    <xf numFmtId="164" fontId="4" fillId="4" borderId="1" xfId="0" applyFont="1" applyFill="1" applyBorder="1" applyAlignment="1" applyProtection="1">
      <alignment horizontal="center" vertical="center"/>
      <protection/>
    </xf>
    <xf numFmtId="164" fontId="0" fillId="2" borderId="0" xfId="0" applyFill="1" applyAlignment="1">
      <alignment vertical="center"/>
    </xf>
    <xf numFmtId="164" fontId="4" fillId="2" borderId="0" xfId="0" applyFont="1" applyFill="1" applyBorder="1" applyAlignment="1">
      <alignment vertical="center"/>
    </xf>
    <xf numFmtId="164" fontId="6" fillId="9" borderId="5" xfId="0" applyFont="1" applyFill="1" applyBorder="1" applyAlignment="1">
      <alignment horizontal="right" vertical="center"/>
    </xf>
    <xf numFmtId="164" fontId="6" fillId="9" borderId="7" xfId="0" applyFont="1" applyFill="1" applyBorder="1" applyAlignment="1">
      <alignment horizontal="center" vertical="center"/>
    </xf>
    <xf numFmtId="164" fontId="6" fillId="2" borderId="5" xfId="0" applyFont="1" applyFill="1" applyBorder="1" applyAlignment="1">
      <alignment horizontal="right" vertical="center"/>
    </xf>
    <xf numFmtId="168" fontId="6" fillId="2" borderId="7" xfId="0" applyNumberFormat="1" applyFont="1" applyFill="1" applyBorder="1" applyAlignment="1">
      <alignment horizontal="center" vertical="center"/>
    </xf>
    <xf numFmtId="164" fontId="6" fillId="5" borderId="5" xfId="0" applyFont="1" applyFill="1" applyBorder="1" applyAlignment="1">
      <alignment horizontal="center" vertical="center"/>
    </xf>
    <xf numFmtId="164" fontId="6" fillId="2" borderId="7" xfId="0" applyFont="1" applyFill="1" applyBorder="1" applyAlignment="1">
      <alignment horizontal="left" vertical="center"/>
    </xf>
    <xf numFmtId="167" fontId="6" fillId="0" borderId="0" xfId="0" applyNumberFormat="1" applyFont="1" applyAlignment="1">
      <alignment horizontal="center" vertical="center"/>
    </xf>
    <xf numFmtId="164" fontId="4" fillId="2" borderId="0" xfId="0" applyFont="1" applyFill="1" applyAlignment="1" applyProtection="1">
      <alignment vertical="center"/>
      <protection/>
    </xf>
    <xf numFmtId="164" fontId="6" fillId="2" borderId="0" xfId="0" applyFont="1" applyFill="1" applyBorder="1" applyAlignment="1">
      <alignment horizontal="right" vertical="center"/>
    </xf>
    <xf numFmtId="164" fontId="6" fillId="2" borderId="0" xfId="0" applyFont="1" applyFill="1" applyBorder="1" applyAlignment="1">
      <alignment horizontal="center" vertical="center"/>
    </xf>
    <xf numFmtId="167" fontId="6" fillId="2" borderId="0" xfId="0" applyNumberFormat="1" applyFont="1" applyFill="1" applyBorder="1" applyAlignment="1">
      <alignment horizontal="center" vertical="center"/>
    </xf>
    <xf numFmtId="164" fontId="4" fillId="2" borderId="0" xfId="0" applyFont="1" applyFill="1" applyAlignment="1">
      <alignment vertical="center"/>
    </xf>
    <xf numFmtId="164" fontId="6" fillId="0" borderId="1" xfId="0" applyFont="1" applyBorder="1" applyAlignment="1">
      <alignment horizontal="left" vertical="center" wrapText="1"/>
    </xf>
    <xf numFmtId="167" fontId="4" fillId="0" borderId="0" xfId="0" applyNumberFormat="1" applyFont="1" applyAlignment="1">
      <alignment horizontal="center"/>
    </xf>
    <xf numFmtId="164" fontId="4" fillId="0" borderId="0" xfId="0" applyFont="1" applyBorder="1" applyAlignment="1">
      <alignment horizontal="center" vertical="top"/>
    </xf>
    <xf numFmtId="164" fontId="4" fillId="0" borderId="0" xfId="0" applyFont="1" applyAlignment="1">
      <alignment horizontal="left"/>
    </xf>
    <xf numFmtId="164" fontId="0" fillId="0" borderId="0" xfId="0" applyAlignment="1">
      <alignment horizontal="center"/>
    </xf>
    <xf numFmtId="164" fontId="10" fillId="0" borderId="0" xfId="0" applyFont="1" applyBorder="1" applyAlignment="1">
      <alignment horizontal="center"/>
    </xf>
    <xf numFmtId="164" fontId="0" fillId="0" borderId="0" xfId="0" applyNumberFormat="1" applyAlignment="1">
      <alignment/>
    </xf>
    <xf numFmtId="164" fontId="10" fillId="0" borderId="0" xfId="0" applyFont="1" applyBorder="1" applyAlignment="1">
      <alignment horizontal="center" vertical="center"/>
    </xf>
    <xf numFmtId="164" fontId="10" fillId="0" borderId="0" xfId="0" applyFont="1" applyAlignment="1">
      <alignment horizontal="center" vertical="center"/>
    </xf>
    <xf numFmtId="164" fontId="0" fillId="0" borderId="1" xfId="0" applyBorder="1" applyAlignment="1">
      <alignment horizontal="center" vertical="center"/>
    </xf>
    <xf numFmtId="164" fontId="0" fillId="5" borderId="1" xfId="0" applyFill="1" applyBorder="1" applyAlignment="1">
      <alignment horizontal="center" vertical="center"/>
    </xf>
    <xf numFmtId="164" fontId="10" fillId="5" borderId="1" xfId="0" applyFont="1" applyFill="1" applyBorder="1" applyAlignment="1">
      <alignment horizontal="center" vertical="center"/>
    </xf>
    <xf numFmtId="164" fontId="10" fillId="0" borderId="0" xfId="0" applyFont="1" applyBorder="1" applyAlignment="1">
      <alignment horizontal="center" vertical="center" textRotation="90"/>
    </xf>
    <xf numFmtId="169" fontId="10" fillId="0" borderId="9" xfId="0" applyNumberFormat="1" applyFont="1" applyBorder="1" applyAlignment="1">
      <alignment horizontal="center" vertical="center"/>
    </xf>
    <xf numFmtId="169" fontId="10" fillId="0" borderId="8" xfId="0" applyNumberFormat="1" applyFont="1" applyBorder="1" applyAlignment="1">
      <alignment horizontal="center" vertical="center"/>
    </xf>
    <xf numFmtId="169" fontId="10" fillId="0" borderId="2" xfId="0" applyNumberFormat="1" applyFont="1" applyBorder="1" applyAlignment="1">
      <alignment horizontal="center" vertical="center"/>
    </xf>
    <xf numFmtId="169" fontId="10" fillId="0" borderId="10" xfId="0" applyNumberFormat="1" applyFont="1" applyBorder="1" applyAlignment="1">
      <alignment horizontal="center" vertical="center"/>
    </xf>
    <xf numFmtId="164" fontId="11" fillId="0" borderId="0" xfId="0" applyFont="1" applyAlignment="1">
      <alignment/>
    </xf>
    <xf numFmtId="169" fontId="10" fillId="0" borderId="11" xfId="0" applyNumberFormat="1" applyFont="1" applyBorder="1" applyAlignment="1">
      <alignment horizontal="center" vertical="center"/>
    </xf>
    <xf numFmtId="169" fontId="10" fillId="0" borderId="0" xfId="0" applyNumberFormat="1" applyFont="1" applyAlignment="1">
      <alignment horizontal="center" vertical="center"/>
    </xf>
    <xf numFmtId="169" fontId="10" fillId="0" borderId="3" xfId="0" applyNumberFormat="1" applyFont="1" applyBorder="1" applyAlignment="1">
      <alignment horizontal="center" vertical="center"/>
    </xf>
    <xf numFmtId="169" fontId="10" fillId="0" borderId="12" xfId="0" applyNumberFormat="1" applyFont="1" applyBorder="1" applyAlignment="1">
      <alignment horizontal="center" vertical="center"/>
    </xf>
    <xf numFmtId="164" fontId="10" fillId="5" borderId="1" xfId="0" applyNumberFormat="1" applyFont="1" applyFill="1" applyBorder="1" applyAlignment="1">
      <alignment horizontal="center" vertical="center"/>
    </xf>
    <xf numFmtId="169" fontId="10" fillId="0" borderId="13" xfId="0" applyNumberFormat="1" applyFont="1" applyBorder="1" applyAlignment="1">
      <alignment horizontal="center" vertical="center"/>
    </xf>
    <xf numFmtId="169" fontId="10" fillId="0" borderId="14" xfId="0" applyNumberFormat="1" applyFont="1" applyBorder="1" applyAlignment="1">
      <alignment horizontal="center" vertical="center"/>
    </xf>
    <xf numFmtId="169" fontId="10" fillId="0" borderId="4" xfId="0" applyNumberFormat="1" applyFont="1" applyBorder="1" applyAlignment="1">
      <alignment horizontal="center" vertical="center"/>
    </xf>
    <xf numFmtId="169" fontId="10" fillId="0" borderId="15" xfId="0" applyNumberFormat="1" applyFont="1" applyBorder="1" applyAlignment="1">
      <alignment horizontal="center" vertical="center"/>
    </xf>
    <xf numFmtId="164" fontId="0" fillId="0" borderId="0" xfId="0" applyFont="1" applyBorder="1" applyAlignment="1">
      <alignment horizontal="center" vertical="top" wrapText="1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lor_bigspeed" xfId="20"/>
    <cellStyle name="Color_kreyser_max" xfId="21"/>
    <cellStyle name="Color_minspeed" xfId="22"/>
    <cellStyle name="Безымянный1" xfId="23"/>
  </cellStyles>
  <dxfs count="3">
    <dxf>
      <font>
        <b val="0"/>
        <color rgb="FFFF0000"/>
      </font>
      <fill>
        <patternFill patternType="none">
          <fgColor indexed="64"/>
          <bgColor indexed="65"/>
        </patternFill>
      </fill>
      <border/>
    </dxf>
    <dxf>
      <font>
        <b val="0"/>
        <color rgb="FFCCCCCC"/>
      </font>
      <border/>
    </dxf>
    <dxf>
      <font>
        <b val="0"/>
        <color rgb="FF80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E6E6E6"/>
      <rgbColor rgb="00E6E6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38"/>
  <sheetViews>
    <sheetView workbookViewId="0" topLeftCell="A16">
      <selection activeCell="C20" sqref="C20"/>
    </sheetView>
  </sheetViews>
  <sheetFormatPr defaultColWidth="12.57421875" defaultRowHeight="12.75"/>
  <cols>
    <col min="1" max="1" width="12.421875" style="1" customWidth="1"/>
    <col min="2" max="2" width="15.7109375" style="1" customWidth="1"/>
    <col min="3" max="3" width="11.57421875" style="1" customWidth="1"/>
    <col min="4" max="7" width="9.140625" style="1" customWidth="1"/>
    <col min="8" max="8" width="3.28125" style="1" customWidth="1"/>
    <col min="9" max="9" width="16.57421875" style="1" customWidth="1"/>
    <col min="10" max="10" width="4.8515625" style="1" customWidth="1"/>
    <col min="11" max="16384" width="11.57421875" style="1" customWidth="1"/>
  </cols>
  <sheetData>
    <row r="1" spans="1:8" ht="12.75">
      <c r="A1" s="2" t="s">
        <v>0</v>
      </c>
      <c r="B1" s="2"/>
      <c r="C1" s="2"/>
      <c r="D1" s="2"/>
      <c r="E1" s="2"/>
      <c r="F1" s="2"/>
      <c r="G1" s="2"/>
      <c r="H1" s="2"/>
    </row>
    <row r="2" spans="1:8" ht="12.75">
      <c r="A2" s="2"/>
      <c r="B2" s="2"/>
      <c r="C2" s="2"/>
      <c r="D2" s="2"/>
      <c r="E2" s="2"/>
      <c r="F2" s="2"/>
      <c r="G2" s="2"/>
      <c r="H2" s="2"/>
    </row>
    <row r="3" spans="1:5" ht="12.75">
      <c r="A3" s="3" t="s">
        <v>1</v>
      </c>
      <c r="B3" s="3"/>
      <c r="C3" s="3"/>
      <c r="D3" s="3"/>
      <c r="E3" s="3"/>
    </row>
    <row r="4" spans="1:6" ht="12.75">
      <c r="A4" s="4" t="s">
        <v>2</v>
      </c>
      <c r="B4" s="4"/>
      <c r="C4" s="4"/>
      <c r="D4" s="4"/>
      <c r="E4" s="4"/>
      <c r="F4" s="5"/>
    </row>
    <row r="5" spans="1:6" ht="12.75" customHeight="1">
      <c r="A5" s="4" t="s">
        <v>3</v>
      </c>
      <c r="B5" s="4"/>
      <c r="C5" s="4"/>
      <c r="D5" s="4"/>
      <c r="E5" s="4"/>
      <c r="F5" s="5"/>
    </row>
    <row r="6" spans="1:6" ht="12.75">
      <c r="A6" s="4" t="s">
        <v>4</v>
      </c>
      <c r="B6" s="4"/>
      <c r="C6" s="4"/>
      <c r="D6" s="4"/>
      <c r="E6" s="4"/>
      <c r="F6" s="5"/>
    </row>
    <row r="7" spans="1:6" ht="12.75" customHeight="1">
      <c r="A7" s="6" t="s">
        <v>5</v>
      </c>
      <c r="B7" s="6"/>
      <c r="C7" s="6"/>
      <c r="D7" s="6"/>
      <c r="E7" s="6"/>
      <c r="F7" s="5"/>
    </row>
    <row r="8" spans="1:6" ht="10.5" customHeight="1">
      <c r="A8" s="6"/>
      <c r="B8" s="6"/>
      <c r="C8" s="6"/>
      <c r="D8" s="6"/>
      <c r="E8" s="6"/>
      <c r="F8" s="5"/>
    </row>
    <row r="9" spans="1:10" ht="11.25" customHeight="1">
      <c r="A9" s="6"/>
      <c r="B9" s="6"/>
      <c r="C9" s="6"/>
      <c r="D9" s="6"/>
      <c r="E9" s="6"/>
      <c r="F9" s="5"/>
      <c r="I9" s="5" t="s">
        <v>6</v>
      </c>
      <c r="J9" s="1">
        <v>100</v>
      </c>
    </row>
    <row r="10" spans="1:10" ht="12.75">
      <c r="A10" s="4" t="s">
        <v>7</v>
      </c>
      <c r="B10" s="4"/>
      <c r="C10" s="4"/>
      <c r="D10" s="4"/>
      <c r="E10" s="4"/>
      <c r="I10" s="5" t="s">
        <v>8</v>
      </c>
      <c r="J10" s="1">
        <v>190</v>
      </c>
    </row>
    <row r="11" spans="1:11" ht="12.75">
      <c r="A11" s="4" t="s">
        <v>9</v>
      </c>
      <c r="B11" s="4"/>
      <c r="C11" s="4"/>
      <c r="D11" s="4"/>
      <c r="E11" s="4"/>
      <c r="I11" s="5" t="s">
        <v>10</v>
      </c>
      <c r="J11" s="1">
        <f>(C31*11)*0.025</f>
        <v>40.7</v>
      </c>
      <c r="K11" s="1">
        <f>(2001-(C21-1000))/50</f>
        <v>29.42</v>
      </c>
    </row>
    <row r="12" spans="1:11" ht="12.75">
      <c r="A12" s="4" t="s">
        <v>11</v>
      </c>
      <c r="B12" s="4"/>
      <c r="C12" s="4"/>
      <c r="D12" s="4"/>
      <c r="E12" s="4"/>
      <c r="I12" s="5" t="s">
        <v>12</v>
      </c>
      <c r="J12" s="1">
        <f>(C30*11)*0.085</f>
        <v>4.675000000000001</v>
      </c>
      <c r="K12" s="1">
        <f>IF(C21&lt;=500,-3,IF(C21&lt;=1000,0.015*(C21+1-500),IF(C21&lt;=2000,0.05*((C21+1)-1000)*(C21+1-1000)/700,IF(C21&lt;=3000,0.07*(C21+1-2000),IF(C21&lt;=4000,60,70)))))</f>
        <v>20.14007142857143</v>
      </c>
    </row>
    <row r="13" spans="1:12" ht="12.75">
      <c r="A13" s="4" t="s">
        <v>13</v>
      </c>
      <c r="B13" s="4"/>
      <c r="C13" s="4"/>
      <c r="D13" s="4"/>
      <c r="E13" s="4"/>
      <c r="J13" s="1">
        <f>(IF(C27=1,70,0))</f>
        <v>70</v>
      </c>
      <c r="K13">
        <v>0</v>
      </c>
      <c r="L13" s="1">
        <f>IF(C21&lt;=500,-10,IF(C21&lt;=1000,0,IF(C21&lt;=2000,52,IF(C21&lt;=3000,62,IF(C21&lt;=4000,70,75)))))</f>
        <v>52</v>
      </c>
    </row>
    <row r="14" spans="9:12" ht="12" customHeight="1">
      <c r="I14" s="5" t="s">
        <v>14</v>
      </c>
      <c r="J14" s="1">
        <f>ROUND((300-K14-K12),0)</f>
        <v>265</v>
      </c>
      <c r="K14" s="1">
        <f>IF(C22&gt;=40,35,IF(C22&gt;=30,20,IF(C22&gt;=20,15,IF(C22&gt;=10,10,IF(C22&gt;=0,0,IF(C22&lt;=-40,10,IF(C22&lt;=-30,-15,IF(C22&lt;-20,-10,-20))))))))</f>
        <v>15</v>
      </c>
      <c r="L14" s="1">
        <f>IF(C22&gt;0,3*(60-C22),IF(C22&gt;-10,-C22*2,10))</f>
        <v>105</v>
      </c>
    </row>
    <row r="15" spans="1:7" ht="12.75">
      <c r="A15" s="7"/>
      <c r="B15" s="7"/>
      <c r="C15" s="7"/>
      <c r="D15" s="8" t="s">
        <v>15</v>
      </c>
      <c r="E15" s="8" t="s">
        <v>16</v>
      </c>
      <c r="F15" s="8" t="s">
        <v>17</v>
      </c>
      <c r="G15" s="8"/>
    </row>
    <row r="16" spans="1:7" ht="12.75" customHeight="1">
      <c r="A16" s="7"/>
      <c r="B16" s="7"/>
      <c r="C16" s="7"/>
      <c r="D16" s="9" t="s">
        <v>18</v>
      </c>
      <c r="E16" s="9" t="s">
        <v>19</v>
      </c>
      <c r="F16" s="9" t="s">
        <v>18</v>
      </c>
      <c r="G16" s="10" t="s">
        <v>20</v>
      </c>
    </row>
    <row r="17" spans="1:7" ht="12.75">
      <c r="A17" s="7"/>
      <c r="B17" s="7"/>
      <c r="C17" s="7"/>
      <c r="D17" s="9"/>
      <c r="E17" s="9"/>
      <c r="F17" s="9"/>
      <c r="G17" s="9"/>
    </row>
    <row r="18" spans="1:7" ht="12.75">
      <c r="A18" s="7"/>
      <c r="B18" s="7"/>
      <c r="C18" s="11" t="s">
        <v>21</v>
      </c>
      <c r="D18" s="12">
        <f>ROUND((C21-C20)/8/60,1)</f>
        <v>3.1</v>
      </c>
      <c r="E18" s="13">
        <f>ROUND((J10/D18/10)+(J10/D18/10)*0.01,2)</f>
        <v>6.19</v>
      </c>
      <c r="F18" s="12">
        <f>ROUND((C21-C20)/5/60,1)</f>
        <v>5</v>
      </c>
      <c r="G18" s="13">
        <f>ROUND((J10/F18/10)+(J10/F18/10)*0.005,2)</f>
        <v>3.82</v>
      </c>
    </row>
    <row r="19" spans="1:9" ht="12.75">
      <c r="A19" s="14" t="s">
        <v>22</v>
      </c>
      <c r="B19" s="14"/>
      <c r="C19" s="15">
        <v>245</v>
      </c>
      <c r="D19" s="16"/>
      <c r="E19" s="16"/>
      <c r="F19" s="16"/>
      <c r="G19" s="16"/>
      <c r="I19" s="1" t="s">
        <v>23</v>
      </c>
    </row>
    <row r="20" spans="1:7" ht="12.75">
      <c r="A20" s="17" t="s">
        <v>24</v>
      </c>
      <c r="B20" s="17"/>
      <c r="C20" s="18">
        <v>32</v>
      </c>
      <c r="D20" s="16"/>
      <c r="E20" s="16"/>
      <c r="F20" s="16"/>
      <c r="G20" s="16"/>
    </row>
    <row r="21" spans="1:9" ht="12.75">
      <c r="A21" s="17" t="s">
        <v>25</v>
      </c>
      <c r="B21" s="17"/>
      <c r="C21" s="19">
        <v>1530</v>
      </c>
      <c r="D21" s="20" t="s">
        <v>26</v>
      </c>
      <c r="E21" s="20"/>
      <c r="F21" s="20"/>
      <c r="G21" s="20"/>
      <c r="I21" s="21"/>
    </row>
    <row r="22" spans="1:7" ht="12.75">
      <c r="A22" s="17" t="s">
        <v>27</v>
      </c>
      <c r="B22" s="17"/>
      <c r="C22" s="22">
        <v>25</v>
      </c>
      <c r="D22" s="23" t="s">
        <v>28</v>
      </c>
      <c r="E22" s="23"/>
      <c r="F22" s="23"/>
      <c r="G22" s="23"/>
    </row>
    <row r="23" spans="1:8" ht="12.75">
      <c r="A23" s="24" t="s">
        <v>29</v>
      </c>
      <c r="B23" s="24"/>
      <c r="C23" s="25">
        <v>491</v>
      </c>
      <c r="D23" s="26"/>
      <c r="E23" s="16">
        <f>C23-E18*2</f>
        <v>478.62</v>
      </c>
      <c r="F23" s="16"/>
      <c r="G23" s="16">
        <f>C23-G18*2</f>
        <v>483.36</v>
      </c>
      <c r="H23" s="21"/>
    </row>
    <row r="24" spans="1:7" ht="12.75">
      <c r="A24" s="27" t="s">
        <v>30</v>
      </c>
      <c r="B24" s="27"/>
      <c r="C24" s="28">
        <f>J14-5</f>
        <v>260</v>
      </c>
      <c r="D24" s="29"/>
      <c r="E24" s="29"/>
      <c r="F24" s="29"/>
      <c r="G24" s="29"/>
    </row>
    <row r="25" spans="1:7" ht="12.75">
      <c r="A25" s="30" t="s">
        <v>31</v>
      </c>
      <c r="B25" s="30"/>
      <c r="C25" s="30"/>
      <c r="D25" s="30"/>
      <c r="E25" s="31">
        <f>ROUND(E23/(C19-(C21-C20)/J9)*60+D18*2,0)*60/86400</f>
        <v>0.09097222222222222</v>
      </c>
      <c r="F25" s="32"/>
      <c r="G25" s="33">
        <f>ROUND(G23/(C19-(C21-C20)/J9)*60+F18*2,0)*60/86400</f>
        <v>0.09444444444444444</v>
      </c>
    </row>
    <row r="26" spans="1:256" ht="12.75">
      <c r="A26" s="34" t="s">
        <v>32</v>
      </c>
      <c r="B26" s="34"/>
      <c r="C26" s="34"/>
      <c r="D26" s="34"/>
      <c r="E26" s="34"/>
      <c r="F26" s="34"/>
      <c r="G26" s="34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2.75">
      <c r="A27" s="1" t="s">
        <v>33</v>
      </c>
      <c r="C27" s="35">
        <v>1</v>
      </c>
      <c r="D27" s="36" t="s">
        <v>34</v>
      </c>
      <c r="E27" s="37"/>
      <c r="F27" s="36" t="s">
        <v>34</v>
      </c>
      <c r="G27" s="3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8" ht="12.75">
      <c r="A28" s="27" t="s">
        <v>35</v>
      </c>
      <c r="B28" s="27"/>
      <c r="C28" s="38">
        <v>4</v>
      </c>
      <c r="D28" s="16">
        <f>ROUND(760/60*C28,0)</f>
        <v>51</v>
      </c>
      <c r="E28" s="16"/>
      <c r="F28" s="16"/>
      <c r="G28" s="16"/>
      <c r="H28"/>
    </row>
    <row r="29" spans="1:8" ht="12.75">
      <c r="A29" s="27" t="s">
        <v>36</v>
      </c>
      <c r="B29" s="27"/>
      <c r="C29" s="38">
        <v>20</v>
      </c>
      <c r="D29" s="16">
        <f>C29*7</f>
        <v>140</v>
      </c>
      <c r="E29" s="16"/>
      <c r="F29" s="16"/>
      <c r="G29" s="16"/>
      <c r="H29"/>
    </row>
    <row r="30" spans="1:7" ht="12.75">
      <c r="A30" s="27" t="s">
        <v>37</v>
      </c>
      <c r="B30" s="27"/>
      <c r="C30" s="35">
        <v>5</v>
      </c>
      <c r="D30" s="16"/>
      <c r="E30" s="16"/>
      <c r="F30" s="16"/>
      <c r="G30" s="16"/>
    </row>
    <row r="31" spans="1:7" ht="12.75">
      <c r="A31" s="27" t="s">
        <v>38</v>
      </c>
      <c r="B31" s="27"/>
      <c r="C31" s="35">
        <v>148</v>
      </c>
      <c r="D31" s="16"/>
      <c r="E31" s="16"/>
      <c r="F31" s="16"/>
      <c r="G31" s="16"/>
    </row>
    <row r="32" spans="1:7" ht="12.75">
      <c r="A32" s="39" t="s">
        <v>39</v>
      </c>
      <c r="B32" s="39"/>
      <c r="C32" s="26"/>
      <c r="D32" s="16">
        <f>(D18+0.1)*11+(D18+0.1)*9</f>
        <v>64</v>
      </c>
      <c r="E32" s="16"/>
      <c r="F32" s="16">
        <f>(F18*2+0.1)*11</f>
        <v>111.1</v>
      </c>
      <c r="G32" s="16"/>
    </row>
    <row r="33" spans="1:7" ht="12.75">
      <c r="A33" s="7" t="s">
        <v>40</v>
      </c>
      <c r="B33" s="7"/>
      <c r="C33" s="26"/>
      <c r="D33" s="16">
        <f>D28+D29+D32+(E25*10.5*86400/60)</f>
        <v>1630.5</v>
      </c>
      <c r="E33" s="16"/>
      <c r="F33" s="16">
        <f>D28+D29+F32+20+(G25*86400/60*10.5)</f>
        <v>1750.1</v>
      </c>
      <c r="G33" s="16"/>
    </row>
    <row r="34" spans="1:7" ht="12.75">
      <c r="A34" s="40" t="s">
        <v>41</v>
      </c>
      <c r="B34" s="40"/>
      <c r="C34" s="41"/>
      <c r="D34" s="32">
        <f>D33+20+220+(IF(C27=1,70,0))</f>
        <v>1940.5</v>
      </c>
      <c r="E34" s="42"/>
      <c r="F34" s="32">
        <f>F33+20+220+(IF(C27=1,70,0))</f>
        <v>2060.1</v>
      </c>
      <c r="G34" s="43"/>
    </row>
    <row r="35" spans="1:7" ht="12.75">
      <c r="A35" s="39" t="s">
        <v>42</v>
      </c>
      <c r="B35" s="39"/>
      <c r="C35" s="26"/>
      <c r="D35" s="16">
        <f>IF((D34&gt;1450),D34-1450,0)</f>
        <v>490.5</v>
      </c>
      <c r="E35" s="16"/>
      <c r="F35" s="16">
        <f>IF((F34&gt;1450),F34-1450,0)</f>
        <v>610.0999999999999</v>
      </c>
      <c r="G35" s="16"/>
    </row>
    <row r="36" spans="1:7" ht="12.75">
      <c r="A36" s="44" t="s">
        <v>43</v>
      </c>
      <c r="B36" s="44"/>
      <c r="C36" s="41"/>
      <c r="D36" s="45">
        <f>ROUND(D34+J11+J12,0)</f>
        <v>1986</v>
      </c>
      <c r="E36" s="42"/>
      <c r="F36" s="46">
        <f>ROUND(F34+J11+J12,0)</f>
        <v>2105</v>
      </c>
      <c r="G36" s="16"/>
    </row>
    <row r="37" spans="1:7" ht="12.75">
      <c r="A37" s="39" t="s">
        <v>44</v>
      </c>
      <c r="B37" s="39"/>
      <c r="C37" s="26"/>
      <c r="D37" s="16">
        <f>IF(D36&gt;2330,D36-2330,0)</f>
        <v>0</v>
      </c>
      <c r="E37" s="16"/>
      <c r="F37" s="16">
        <f>IF(F36&gt;2330,F36-2330,0)</f>
        <v>0</v>
      </c>
      <c r="G37" s="16"/>
    </row>
    <row r="38" spans="1:4" ht="12.75">
      <c r="A38" s="47" t="s">
        <v>45</v>
      </c>
      <c r="B38" s="47"/>
      <c r="C38" s="47"/>
      <c r="D38" s="47"/>
    </row>
  </sheetData>
  <sheetProtection selectLockedCells="1" selectUnlockedCells="1"/>
  <mergeCells count="36">
    <mergeCell ref="A1:H2"/>
    <mergeCell ref="A3:E3"/>
    <mergeCell ref="A4:E4"/>
    <mergeCell ref="A5:E5"/>
    <mergeCell ref="A6:E6"/>
    <mergeCell ref="A7:E9"/>
    <mergeCell ref="A10:E10"/>
    <mergeCell ref="A11:E11"/>
    <mergeCell ref="A12:E12"/>
    <mergeCell ref="A13:E13"/>
    <mergeCell ref="D15:E15"/>
    <mergeCell ref="F15:G15"/>
    <mergeCell ref="D16:D17"/>
    <mergeCell ref="E16:E17"/>
    <mergeCell ref="F16:F17"/>
    <mergeCell ref="G16:G17"/>
    <mergeCell ref="A19:B19"/>
    <mergeCell ref="A20:B20"/>
    <mergeCell ref="A21:B21"/>
    <mergeCell ref="D21:G21"/>
    <mergeCell ref="A22:B22"/>
    <mergeCell ref="D22:G22"/>
    <mergeCell ref="A23:B23"/>
    <mergeCell ref="A24:B24"/>
    <mergeCell ref="A25:D25"/>
    <mergeCell ref="A26:G26"/>
    <mergeCell ref="A28:B28"/>
    <mergeCell ref="A29:B29"/>
    <mergeCell ref="A30:B30"/>
    <mergeCell ref="A31:B31"/>
    <mergeCell ref="A32:B32"/>
    <mergeCell ref="A34:B34"/>
    <mergeCell ref="A35:B35"/>
    <mergeCell ref="A36:B36"/>
    <mergeCell ref="A37:B37"/>
    <mergeCell ref="A38:D38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40"/>
  <sheetViews>
    <sheetView tabSelected="1" workbookViewId="0" topLeftCell="H7">
      <selection activeCell="O14" sqref="O14"/>
    </sheetView>
  </sheetViews>
  <sheetFormatPr defaultColWidth="12.57421875" defaultRowHeight="12.75"/>
  <cols>
    <col min="1" max="1" width="27.7109375" style="48" customWidth="1"/>
    <col min="2" max="2" width="5.140625" style="49" customWidth="1"/>
    <col min="3" max="3" width="27.8515625" style="49" customWidth="1"/>
    <col min="4" max="5" width="7.7109375" style="49" customWidth="1"/>
    <col min="6" max="8" width="4.8515625" style="49" customWidth="1"/>
    <col min="9" max="9" width="9.140625" style="49" customWidth="1"/>
    <col min="10" max="11" width="7.7109375" style="49" customWidth="1"/>
    <col min="12" max="13" width="6.57421875" style="49" customWidth="1"/>
    <col min="14" max="14" width="23.421875" style="1" customWidth="1"/>
    <col min="15" max="15" width="27.140625" style="50" customWidth="1"/>
    <col min="16" max="16" width="12.28125" style="49" customWidth="1"/>
    <col min="17" max="17" width="10.421875" style="49" customWidth="1"/>
    <col min="18" max="18" width="5.00390625" style="49" customWidth="1"/>
    <col min="19" max="19" width="11.8515625" style="48" customWidth="1"/>
    <col min="20" max="20" width="28.140625" style="48" customWidth="1"/>
    <col min="21" max="21" width="11.57421875" style="0" customWidth="1"/>
    <col min="22" max="22" width="6.140625" style="48" customWidth="1"/>
    <col min="23" max="23" width="11.57421875" style="48" customWidth="1"/>
    <col min="24" max="16384" width="11.57421875" style="1" customWidth="1"/>
  </cols>
  <sheetData>
    <row r="1" spans="1:22" ht="12.75" customHeight="1">
      <c r="A1" s="51" t="s">
        <v>46</v>
      </c>
      <c r="B1" s="52" t="s">
        <v>47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3"/>
      <c r="Q1" s="54"/>
      <c r="R1" s="55"/>
      <c r="S1" s="56">
        <f>Предварительный!C19*V1</f>
        <v>220.5</v>
      </c>
      <c r="T1" s="57" t="s">
        <v>48</v>
      </c>
      <c r="V1" s="48">
        <f>1-IF(F19&lt;0,1,IF(A19&gt;20,20,A19))/100</f>
        <v>0.9</v>
      </c>
    </row>
    <row r="2" spans="1:20" ht="21.75" customHeight="1">
      <c r="A2" s="51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3"/>
      <c r="Q2" s="54"/>
      <c r="R2" s="55"/>
      <c r="S2" s="56">
        <v>10.7</v>
      </c>
      <c r="T2" s="57" t="s">
        <v>49</v>
      </c>
    </row>
    <row r="3" spans="1:20" ht="12.75" customHeight="1">
      <c r="A3" s="51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3"/>
      <c r="Q3" s="53"/>
      <c r="R3" s="55"/>
      <c r="S3" s="56">
        <f>ROUND(Предварительный!J14-10,0)</f>
        <v>255</v>
      </c>
      <c r="T3" s="57" t="s">
        <v>50</v>
      </c>
    </row>
    <row r="4" spans="1:23" s="67" customFormat="1" ht="13.5" customHeight="1">
      <c r="A4" s="51"/>
      <c r="B4" s="58"/>
      <c r="C4" s="58"/>
      <c r="D4" s="59"/>
      <c r="E4" s="59"/>
      <c r="F4" s="59"/>
      <c r="G4" s="59"/>
      <c r="H4" s="59"/>
      <c r="I4" s="9" t="s">
        <v>51</v>
      </c>
      <c r="J4" s="59"/>
      <c r="K4" s="9" t="s">
        <v>52</v>
      </c>
      <c r="L4" s="60"/>
      <c r="M4" s="60"/>
      <c r="N4" s="61"/>
      <c r="O4" s="61"/>
      <c r="P4" s="62"/>
      <c r="Q4" s="63"/>
      <c r="R4" s="64"/>
      <c r="S4" s="65"/>
      <c r="T4" s="65"/>
      <c r="U4"/>
      <c r="V4" s="66"/>
      <c r="W4" s="66"/>
    </row>
    <row r="5" spans="1:23" s="67" customFormat="1" ht="13.5" customHeight="1">
      <c r="A5" s="51"/>
      <c r="B5" s="8" t="s">
        <v>53</v>
      </c>
      <c r="C5" s="8" t="s">
        <v>54</v>
      </c>
      <c r="D5" s="8" t="s">
        <v>55</v>
      </c>
      <c r="E5" s="8"/>
      <c r="F5" s="8" t="s">
        <v>56</v>
      </c>
      <c r="G5" s="8" t="s">
        <v>57</v>
      </c>
      <c r="H5" s="8" t="s">
        <v>58</v>
      </c>
      <c r="I5" s="9"/>
      <c r="J5" s="68" t="s">
        <v>59</v>
      </c>
      <c r="K5" s="9"/>
      <c r="L5" s="8" t="s">
        <v>60</v>
      </c>
      <c r="M5" s="8" t="s">
        <v>61</v>
      </c>
      <c r="N5" s="69" t="s">
        <v>62</v>
      </c>
      <c r="O5" s="69" t="s">
        <v>63</v>
      </c>
      <c r="P5" s="62"/>
      <c r="Q5" s="63"/>
      <c r="R5" s="70"/>
      <c r="S5" s="65"/>
      <c r="T5" s="65"/>
      <c r="U5"/>
      <c r="V5" s="66"/>
      <c r="W5" s="66"/>
    </row>
    <row r="6" spans="1:23" s="67" customFormat="1" ht="13.5" customHeight="1">
      <c r="A6" s="51"/>
      <c r="B6" s="8"/>
      <c r="C6" s="71"/>
      <c r="D6" s="71"/>
      <c r="E6" s="71"/>
      <c r="F6" s="71"/>
      <c r="G6" s="71"/>
      <c r="H6" s="71"/>
      <c r="I6" s="9"/>
      <c r="J6" s="68"/>
      <c r="K6" s="72">
        <v>0.6145833333333334</v>
      </c>
      <c r="L6" s="71"/>
      <c r="M6" s="71"/>
      <c r="N6" s="69"/>
      <c r="O6" s="69"/>
      <c r="P6" s="62"/>
      <c r="Q6" s="63"/>
      <c r="R6" s="73"/>
      <c r="S6" s="66"/>
      <c r="T6" s="66"/>
      <c r="U6"/>
      <c r="V6" s="66"/>
      <c r="W6" s="66"/>
    </row>
    <row r="7" spans="1:23" s="67" customFormat="1" ht="13.5" customHeight="1">
      <c r="A7" s="51"/>
      <c r="B7" s="74" t="s">
        <v>64</v>
      </c>
      <c r="C7" s="75" t="s">
        <v>65</v>
      </c>
      <c r="D7" s="75" t="s">
        <v>66</v>
      </c>
      <c r="E7" s="75" t="s">
        <v>67</v>
      </c>
      <c r="F7" s="75">
        <v>30</v>
      </c>
      <c r="G7" s="74">
        <v>0</v>
      </c>
      <c r="H7" s="75" t="s">
        <v>68</v>
      </c>
      <c r="I7" s="9"/>
      <c r="J7" s="76">
        <v>0</v>
      </c>
      <c r="K7" s="77">
        <f>J7+K6</f>
        <v>0.6145833333333334</v>
      </c>
      <c r="L7" s="71"/>
      <c r="M7" s="74">
        <v>2330</v>
      </c>
      <c r="N7" s="78"/>
      <c r="O7" s="79" t="s">
        <v>69</v>
      </c>
      <c r="P7" s="62"/>
      <c r="Q7" s="80"/>
      <c r="R7" s="73"/>
      <c r="S7" s="66"/>
      <c r="T7" s="66"/>
      <c r="U7"/>
      <c r="V7" s="66"/>
      <c r="W7" s="66"/>
    </row>
    <row r="8" spans="1:23" s="67" customFormat="1" ht="13.5" customHeight="1">
      <c r="A8" s="81">
        <v>-2</v>
      </c>
      <c r="B8" s="74">
        <v>1</v>
      </c>
      <c r="C8" s="75" t="s">
        <v>70</v>
      </c>
      <c r="D8" s="75" t="s">
        <v>71</v>
      </c>
      <c r="E8" s="75" t="s">
        <v>72</v>
      </c>
      <c r="F8" s="75">
        <v>60</v>
      </c>
      <c r="G8" s="74">
        <v>60</v>
      </c>
      <c r="H8" s="75">
        <v>70</v>
      </c>
      <c r="I8" s="8">
        <f>IF(ROUND(A8*3.6+S1,0)&gt;S3,S3-5,ROUND(A8*3.6+S1,0))</f>
        <v>213</v>
      </c>
      <c r="J8" s="82">
        <f>G8/S1*3600/86400*1.15</f>
        <v>0.013038548752834467</v>
      </c>
      <c r="K8" s="77">
        <f>J8+K6</f>
        <v>0.6276218820861679</v>
      </c>
      <c r="L8" s="71">
        <f>ROUND(MINUTE(J8-J7)*S2,0)</f>
        <v>193</v>
      </c>
      <c r="M8" s="71">
        <f>ROUND(M7-L8-L7,0)</f>
        <v>2137</v>
      </c>
      <c r="N8" s="78" t="s">
        <v>73</v>
      </c>
      <c r="O8" s="79" t="s">
        <v>74</v>
      </c>
      <c r="P8" s="62"/>
      <c r="Q8" s="83"/>
      <c r="R8" s="62"/>
      <c r="S8" s="66"/>
      <c r="T8" s="66"/>
      <c r="U8"/>
      <c r="V8" s="66"/>
      <c r="W8" s="66"/>
    </row>
    <row r="9" spans="1:23" s="67" customFormat="1" ht="13.5" customHeight="1">
      <c r="A9" s="84">
        <v>-2</v>
      </c>
      <c r="B9" s="74">
        <v>2</v>
      </c>
      <c r="C9" s="75" t="s">
        <v>75</v>
      </c>
      <c r="D9" s="75" t="s">
        <v>76</v>
      </c>
      <c r="E9" s="75" t="s">
        <v>77</v>
      </c>
      <c r="F9" s="75">
        <v>0</v>
      </c>
      <c r="G9" s="74">
        <v>107</v>
      </c>
      <c r="H9" s="75">
        <v>111</v>
      </c>
      <c r="I9" s="8">
        <f>IF(ROUND(A9*3.6+S1,0)&gt;S3,S3-5,ROUND(A9*3.6+S1,0))</f>
        <v>213</v>
      </c>
      <c r="J9" s="82">
        <f>G9/S1*3600/86400+J8</f>
        <v>0.03325774754346183</v>
      </c>
      <c r="K9" s="77">
        <f>J9+K6</f>
        <v>0.6478410808767952</v>
      </c>
      <c r="L9" s="71">
        <f>ROUND(MINUTE(J9-J8)*S2,0)</f>
        <v>310</v>
      </c>
      <c r="M9" s="71">
        <f>M8-L9</f>
        <v>1827</v>
      </c>
      <c r="N9" s="78" t="s">
        <v>78</v>
      </c>
      <c r="O9" s="79" t="s">
        <v>79</v>
      </c>
      <c r="P9" s="62"/>
      <c r="Q9" s="83"/>
      <c r="R9" s="73"/>
      <c r="S9" s="66"/>
      <c r="T9" s="66"/>
      <c r="U9"/>
      <c r="V9" s="66"/>
      <c r="W9" s="66"/>
    </row>
    <row r="10" spans="1:23" s="67" customFormat="1" ht="13.5" customHeight="1">
      <c r="A10" s="81">
        <v>-3</v>
      </c>
      <c r="B10" s="74">
        <v>3</v>
      </c>
      <c r="C10" s="75" t="s">
        <v>80</v>
      </c>
      <c r="D10" s="75" t="s">
        <v>81</v>
      </c>
      <c r="E10" s="75" t="s">
        <v>82</v>
      </c>
      <c r="F10" s="75">
        <v>302</v>
      </c>
      <c r="G10" s="74">
        <v>76</v>
      </c>
      <c r="H10" s="75">
        <v>98</v>
      </c>
      <c r="I10" s="8">
        <f>IF(ROUND(A10*3.6+S1,0)&gt;S3,S3-5,ROUND(A10*3.6+S1,0))</f>
        <v>210</v>
      </c>
      <c r="J10" s="82">
        <f>G10/S1*3600/86400+J9</f>
        <v>0.047619047619047616</v>
      </c>
      <c r="K10" s="77">
        <f>J10+K6</f>
        <v>0.6622023809523809</v>
      </c>
      <c r="L10" s="71">
        <f>ROUND(MINUTE(J10-J9)*S2,0)</f>
        <v>214</v>
      </c>
      <c r="M10" s="71">
        <f>M9-L10</f>
        <v>1613</v>
      </c>
      <c r="N10" s="78" t="s">
        <v>83</v>
      </c>
      <c r="O10" s="79" t="s">
        <v>84</v>
      </c>
      <c r="P10" s="62"/>
      <c r="Q10" s="85"/>
      <c r="R10" s="73"/>
      <c r="S10" s="66"/>
      <c r="T10" s="66"/>
      <c r="U10"/>
      <c r="V10" s="66"/>
      <c r="W10" s="66"/>
    </row>
    <row r="11" spans="1:23" s="67" customFormat="1" ht="13.5" customHeight="1">
      <c r="A11" s="81">
        <v>0</v>
      </c>
      <c r="B11" s="86"/>
      <c r="C11" s="87" t="s">
        <v>85</v>
      </c>
      <c r="D11" s="75"/>
      <c r="E11" s="75"/>
      <c r="F11" s="75"/>
      <c r="G11" s="75">
        <v>0</v>
      </c>
      <c r="H11" s="75">
        <v>98</v>
      </c>
      <c r="I11" s="8">
        <f>IF(ROUND(A11*3.6+S3,0)&gt;S3,S3-5,ROUND(A11*3.6+S1,0))</f>
        <v>221</v>
      </c>
      <c r="J11" s="88">
        <f>G11/S1*3600/86400+J10</f>
        <v>0.047619047619047616</v>
      </c>
      <c r="K11" s="89">
        <f>J11+K6</f>
        <v>0.6622023809523809</v>
      </c>
      <c r="L11" s="71">
        <f>ROUND(MINUTE(J11-J10)*S2,0)</f>
        <v>0</v>
      </c>
      <c r="M11" s="71">
        <f>M10-L11</f>
        <v>1613</v>
      </c>
      <c r="N11" s="78"/>
      <c r="O11" s="79" t="s">
        <v>86</v>
      </c>
      <c r="P11" s="62"/>
      <c r="Q11" s="90"/>
      <c r="R11" s="73"/>
      <c r="S11" s="66"/>
      <c r="T11" s="66"/>
      <c r="U11"/>
      <c r="V11" s="66"/>
      <c r="W11" s="66"/>
    </row>
    <row r="12" spans="1:23" s="67" customFormat="1" ht="13.5" customHeight="1">
      <c r="A12" s="81">
        <v>-7</v>
      </c>
      <c r="B12" s="74">
        <v>4</v>
      </c>
      <c r="C12" s="75" t="s">
        <v>87</v>
      </c>
      <c r="D12" s="75" t="s">
        <v>88</v>
      </c>
      <c r="E12" s="75" t="s">
        <v>89</v>
      </c>
      <c r="F12" s="75">
        <v>593</v>
      </c>
      <c r="G12" s="74">
        <v>114</v>
      </c>
      <c r="H12" s="75">
        <v>117</v>
      </c>
      <c r="I12" s="8">
        <f>IF(ROUND(A12*3.6+S1,0)&gt;S3,S3-5,ROUND(A12*3.6+S1,0))</f>
        <v>195</v>
      </c>
      <c r="J12" s="82">
        <f>G12/S1*3600/86400+J11</f>
        <v>0.0691609977324263</v>
      </c>
      <c r="K12" s="77">
        <f>J12+K6</f>
        <v>0.6837443310657597</v>
      </c>
      <c r="L12" s="71">
        <f>ROUND(MINUTE(J12-J11)*S2,0)</f>
        <v>332</v>
      </c>
      <c r="M12" s="71">
        <f>M11-L12</f>
        <v>1281</v>
      </c>
      <c r="N12" s="78"/>
      <c r="O12" s="79" t="s">
        <v>90</v>
      </c>
      <c r="P12" s="62"/>
      <c r="Q12" s="90"/>
      <c r="R12" s="73"/>
      <c r="S12" s="66"/>
      <c r="T12" s="66"/>
      <c r="U12"/>
      <c r="V12" s="66"/>
      <c r="W12" s="66"/>
    </row>
    <row r="13" spans="1:23" s="67" customFormat="1" ht="13.5" customHeight="1">
      <c r="A13" s="81">
        <v>-7</v>
      </c>
      <c r="B13" s="74">
        <v>5</v>
      </c>
      <c r="C13" s="75" t="s">
        <v>91</v>
      </c>
      <c r="D13" s="75" t="s">
        <v>92</v>
      </c>
      <c r="E13" s="75" t="s">
        <v>93</v>
      </c>
      <c r="F13" s="75">
        <v>133</v>
      </c>
      <c r="G13" s="74">
        <v>44</v>
      </c>
      <c r="H13" s="75">
        <v>86</v>
      </c>
      <c r="I13" s="8">
        <f>IF(ROUND(A13*3.6+S1,0)&gt;S3,S3-5,ROUND(A13*3.6+S1,0))</f>
        <v>195</v>
      </c>
      <c r="J13" s="82">
        <f>G13/S1*3600/86400+J12</f>
        <v>0.07747543461829176</v>
      </c>
      <c r="K13" s="77">
        <f>J13+K6</f>
        <v>0.6920587679516251</v>
      </c>
      <c r="L13" s="71">
        <f>ROUND(MINUTE(J13-J12)*S2,0)</f>
        <v>118</v>
      </c>
      <c r="M13" s="71">
        <f>M12-L13</f>
        <v>1163</v>
      </c>
      <c r="N13" s="78" t="s">
        <v>94</v>
      </c>
      <c r="O13" s="79" t="s">
        <v>95</v>
      </c>
      <c r="P13" s="62"/>
      <c r="Q13" s="90"/>
      <c r="R13" s="73"/>
      <c r="S13" s="66"/>
      <c r="T13" s="66"/>
      <c r="U13"/>
      <c r="V13" s="66"/>
      <c r="W13" s="66"/>
    </row>
    <row r="14" spans="1:23" s="67" customFormat="1" ht="13.5" customHeight="1">
      <c r="A14" s="81">
        <v>0</v>
      </c>
      <c r="B14" s="74"/>
      <c r="C14" s="87" t="s">
        <v>96</v>
      </c>
      <c r="D14" s="75"/>
      <c r="E14" s="75"/>
      <c r="F14" s="75"/>
      <c r="G14" s="75">
        <v>0</v>
      </c>
      <c r="H14" s="75">
        <v>86</v>
      </c>
      <c r="I14" s="8">
        <f>IF(ROUND(A14*3.6+S1,0)&gt;S3,S3-5,ROUND(A14*3.6+S1,0))</f>
        <v>221</v>
      </c>
      <c r="J14" s="88">
        <f>G14/S1*3600/86400+J13</f>
        <v>0.07747543461829176</v>
      </c>
      <c r="K14" s="89">
        <f>J14+K6</f>
        <v>0.6920587679516251</v>
      </c>
      <c r="L14" s="71">
        <f>ROUND(MINUTE(J14-J13)*S2,0)</f>
        <v>0</v>
      </c>
      <c r="M14" s="71">
        <f>M13-L14</f>
        <v>1163</v>
      </c>
      <c r="N14" s="79"/>
      <c r="O14" s="79" t="s">
        <v>97</v>
      </c>
      <c r="P14" s="62"/>
      <c r="Q14" s="90"/>
      <c r="R14" s="73"/>
      <c r="S14" s="66"/>
      <c r="T14" s="66"/>
      <c r="U14"/>
      <c r="V14" s="66"/>
      <c r="W14" s="66"/>
    </row>
    <row r="15" spans="1:23" s="67" customFormat="1" ht="13.5" customHeight="1">
      <c r="A15" s="84">
        <v>-7</v>
      </c>
      <c r="B15" s="74" t="s">
        <v>98</v>
      </c>
      <c r="C15" s="75" t="s">
        <v>99</v>
      </c>
      <c r="D15" s="75" t="s">
        <v>100</v>
      </c>
      <c r="E15" s="75" t="s">
        <v>101</v>
      </c>
      <c r="F15" s="75">
        <v>154</v>
      </c>
      <c r="G15" s="74">
        <v>90</v>
      </c>
      <c r="H15" s="75">
        <v>101</v>
      </c>
      <c r="I15" s="8">
        <f>IF(ROUND(A15*3.6+S1,0)&gt;S3,S3-5,ROUND(A15*3.6+S1,0))</f>
        <v>195</v>
      </c>
      <c r="J15" s="82">
        <f>G15/S1*3600/86400+J14</f>
        <v>0.0944822373393802</v>
      </c>
      <c r="K15" s="77">
        <f>J15+K6</f>
        <v>0.7090655706727136</v>
      </c>
      <c r="L15" s="71">
        <f>ROUND(MINUTE(J15-J14)*S2,0)</f>
        <v>257</v>
      </c>
      <c r="M15" s="71">
        <f>M14-L15</f>
        <v>906</v>
      </c>
      <c r="N15" s="78"/>
      <c r="O15" s="79" t="s">
        <v>102</v>
      </c>
      <c r="P15" s="62"/>
      <c r="Q15" s="90"/>
      <c r="R15" s="73"/>
      <c r="S15" s="66"/>
      <c r="T15" s="66"/>
      <c r="U15"/>
      <c r="V15" s="66"/>
      <c r="W15" s="66"/>
    </row>
    <row r="16" spans="1:23" s="67" customFormat="1" ht="13.5" customHeight="1">
      <c r="A16" s="81">
        <v>0</v>
      </c>
      <c r="B16" s="79"/>
      <c r="C16" s="79"/>
      <c r="D16" s="79"/>
      <c r="E16" s="79"/>
      <c r="F16" s="79"/>
      <c r="G16" s="75">
        <v>0</v>
      </c>
      <c r="H16" s="79"/>
      <c r="I16" s="8">
        <f>IF(ROUND(A16*3.6+S1,0)&gt;S3,S3-5,ROUND(A16*3.6+S1,0))</f>
        <v>221</v>
      </c>
      <c r="J16" s="88">
        <f>G16/S1*3600/86400+J15</f>
        <v>0.0944822373393802</v>
      </c>
      <c r="K16" s="77">
        <f>J16+K6</f>
        <v>0.7090655706727136</v>
      </c>
      <c r="L16" s="71">
        <f>ROUND(MINUTE(J16-J15)*S2,0)</f>
        <v>0</v>
      </c>
      <c r="M16" s="71">
        <f>M15-L16</f>
        <v>906</v>
      </c>
      <c r="N16" s="79"/>
      <c r="O16" s="79"/>
      <c r="P16" s="62"/>
      <c r="Q16" s="90"/>
      <c r="R16" s="73"/>
      <c r="S16" s="66"/>
      <c r="T16" s="66"/>
      <c r="U16"/>
      <c r="V16" s="66"/>
      <c r="W16" s="66"/>
    </row>
    <row r="17" spans="1:23" s="67" customFormat="1" ht="13.5" customHeight="1">
      <c r="A17" s="81">
        <v>0</v>
      </c>
      <c r="B17" s="79"/>
      <c r="C17" s="79"/>
      <c r="D17" s="79"/>
      <c r="E17" s="79"/>
      <c r="F17" s="79"/>
      <c r="G17" s="75">
        <v>0</v>
      </c>
      <c r="H17" s="79"/>
      <c r="I17" s="8">
        <f>IF(ROUND(A17*3.6+S1,0)&gt;S3,S3-5,ROUND(A17*3.6+S1,0))</f>
        <v>221</v>
      </c>
      <c r="J17" s="88">
        <f>G17/S1*3600/86400+J16</f>
        <v>0.0944822373393802</v>
      </c>
      <c r="K17" s="77">
        <f>J17+K6</f>
        <v>0.7090655706727136</v>
      </c>
      <c r="L17" s="71">
        <f>ROUND(MINUTE(J17-J16)*S2,0)</f>
        <v>0</v>
      </c>
      <c r="M17" s="71">
        <f>M16-L17</f>
        <v>906</v>
      </c>
      <c r="N17" s="79"/>
      <c r="O17" s="79"/>
      <c r="P17" s="62"/>
      <c r="Q17" s="90"/>
      <c r="R17" s="73"/>
      <c r="S17" s="66"/>
      <c r="T17" s="66"/>
      <c r="U17"/>
      <c r="V17" s="66"/>
      <c r="W17" s="66"/>
    </row>
    <row r="18" spans="1:23" s="67" customFormat="1" ht="13.5" customHeight="1">
      <c r="A18" s="81">
        <v>0</v>
      </c>
      <c r="B18" s="74"/>
      <c r="C18" s="75"/>
      <c r="D18" s="75"/>
      <c r="E18" s="75"/>
      <c r="F18" s="75"/>
      <c r="G18" s="75">
        <v>0</v>
      </c>
      <c r="H18" s="75"/>
      <c r="I18" s="8">
        <f>IF(ROUND(A18*3.6+S1,0)&gt;S3,S3-5,ROUND(A18*3.6+S1,0))</f>
        <v>221</v>
      </c>
      <c r="J18" s="88">
        <f>G18/S1*3600/86400+J17</f>
        <v>0.0944822373393802</v>
      </c>
      <c r="K18" s="77">
        <f>J18+K6</f>
        <v>0.7090655706727136</v>
      </c>
      <c r="L18" s="71">
        <f>ROUND(MINUTE(J18-J17)*S2,0)</f>
        <v>0</v>
      </c>
      <c r="M18" s="71">
        <f>M17-L18</f>
        <v>906</v>
      </c>
      <c r="N18" s="78"/>
      <c r="O18" s="79"/>
      <c r="P18" s="62"/>
      <c r="Q18" s="90"/>
      <c r="R18" s="73"/>
      <c r="S18" s="66"/>
      <c r="T18" s="66"/>
      <c r="U18"/>
      <c r="V18" s="66"/>
      <c r="W18" s="66"/>
    </row>
    <row r="19" spans="1:23" s="67" customFormat="1" ht="13.5" customHeight="1">
      <c r="A19" s="91">
        <v>10</v>
      </c>
      <c r="B19" s="92"/>
      <c r="C19" s="92"/>
      <c r="D19" s="93"/>
      <c r="E19" s="94" t="s">
        <v>103</v>
      </c>
      <c r="F19" s="94"/>
      <c r="G19" s="95">
        <f>SUM(G7:G15)</f>
        <v>491</v>
      </c>
      <c r="H19" s="96" t="s">
        <v>104</v>
      </c>
      <c r="I19" s="97">
        <f>SUM(I8:I18)/11</f>
        <v>211.45454545454547</v>
      </c>
      <c r="J19" s="82">
        <f>J18</f>
        <v>0.0944822373393802</v>
      </c>
      <c r="K19" s="77">
        <f>J19+K7</f>
        <v>0.7090655706727136</v>
      </c>
      <c r="L19" s="98">
        <f>ROUND(SUM(L7:L15),0)</f>
        <v>1424</v>
      </c>
      <c r="M19" s="8">
        <f>M17</f>
        <v>906</v>
      </c>
      <c r="N19" s="99" t="s">
        <v>105</v>
      </c>
      <c r="O19"/>
      <c r="P19" s="62"/>
      <c r="Q19" s="100"/>
      <c r="R19" s="73"/>
      <c r="S19" s="66"/>
      <c r="T19" s="66"/>
      <c r="U19"/>
      <c r="V19" s="66"/>
      <c r="W19" s="66"/>
    </row>
    <row r="20" spans="1:23" s="67" customFormat="1" ht="25.5" customHeight="1">
      <c r="A20" s="101"/>
      <c r="B20" s="102"/>
      <c r="C20" s="102"/>
      <c r="D20" s="103"/>
      <c r="E20" s="58"/>
      <c r="F20" s="58"/>
      <c r="G20" s="103"/>
      <c r="H20" s="103"/>
      <c r="I20" s="104"/>
      <c r="J20" s="103"/>
      <c r="K20" s="105"/>
      <c r="L20" s="74">
        <f>ROUND((Предварительный!D29+Предварительный!D28+Предварительный!D32+Предварительный!J13+220+20+L19)*1.01,0)</f>
        <v>2009</v>
      </c>
      <c r="M20" s="106" t="s">
        <v>106</v>
      </c>
      <c r="N20" s="106"/>
      <c r="O20" s="106"/>
      <c r="P20" s="73"/>
      <c r="Q20" s="73"/>
      <c r="R20" s="73"/>
      <c r="S20" s="66"/>
      <c r="T20" s="66"/>
      <c r="U20"/>
      <c r="V20" s="66"/>
      <c r="W20" s="66"/>
    </row>
    <row r="21" spans="1:14" ht="12.75">
      <c r="A21" s="55"/>
      <c r="C21" s="107"/>
      <c r="L21" s="35"/>
      <c r="M21" s="6"/>
      <c r="N21" s="6"/>
    </row>
    <row r="22" spans="2:13" ht="12.75">
      <c r="B22" s="108"/>
      <c r="C22" s="108"/>
      <c r="D22" s="108"/>
      <c r="E22" s="108"/>
      <c r="M22" s="109"/>
    </row>
    <row r="23" spans="2:13" ht="12.75">
      <c r="B23" s="108"/>
      <c r="C23" s="108"/>
      <c r="D23" s="108"/>
      <c r="E23" s="108"/>
      <c r="M23" s="109"/>
    </row>
    <row r="24" spans="2:13" ht="12.75">
      <c r="B24" s="108"/>
      <c r="C24" s="108"/>
      <c r="D24" s="108"/>
      <c r="E24" s="108"/>
      <c r="M24" s="109"/>
    </row>
    <row r="25" ht="12.75">
      <c r="M25" s="109"/>
    </row>
    <row r="26" ht="12.75">
      <c r="M26" s="109"/>
    </row>
    <row r="27" ht="12.75">
      <c r="M27" s="109"/>
    </row>
    <row r="28" ht="12.75">
      <c r="M28" s="109"/>
    </row>
    <row r="29" ht="12.75">
      <c r="M29" s="109"/>
    </row>
    <row r="30" ht="12.75">
      <c r="M30" s="109"/>
    </row>
    <row r="39" spans="10:22" ht="12.75" customHeight="1">
      <c r="J39" s="52" t="s">
        <v>107</v>
      </c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</row>
    <row r="40" spans="10:22" ht="12.75"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</row>
  </sheetData>
  <sheetProtection selectLockedCells="1" selectUnlockedCells="1"/>
  <mergeCells count="15">
    <mergeCell ref="A1:A7"/>
    <mergeCell ref="B1:O2"/>
    <mergeCell ref="B4:C4"/>
    <mergeCell ref="I4:I7"/>
    <mergeCell ref="K4:K5"/>
    <mergeCell ref="L4:M4"/>
    <mergeCell ref="Q4:Q6"/>
    <mergeCell ref="D5:E5"/>
    <mergeCell ref="J5:J6"/>
    <mergeCell ref="N5:N6"/>
    <mergeCell ref="O5:O6"/>
    <mergeCell ref="E19:F19"/>
    <mergeCell ref="B20:C20"/>
    <mergeCell ref="M20:O20"/>
    <mergeCell ref="J39:V40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AJ23"/>
  <sheetViews>
    <sheetView workbookViewId="0" topLeftCell="A1">
      <selection activeCell="J6" sqref="J6"/>
    </sheetView>
  </sheetViews>
  <sheetFormatPr defaultColWidth="12.57421875" defaultRowHeight="12.75"/>
  <cols>
    <col min="1" max="1" width="11.57421875" style="0" customWidth="1"/>
    <col min="2" max="2" width="5.8515625" style="0" customWidth="1"/>
    <col min="3" max="13" width="6.140625" style="0" customWidth="1"/>
    <col min="14" max="14" width="6.140625" style="110" customWidth="1"/>
    <col min="15" max="26" width="6.140625" style="0" customWidth="1"/>
    <col min="27" max="16384" width="11.57421875" style="0" customWidth="1"/>
  </cols>
  <sheetData>
    <row r="1" spans="3:36" ht="12.75">
      <c r="C1" s="111" t="s">
        <v>108</v>
      </c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F1" s="112">
        <f>O3*1000/3600</f>
        <v>63.888888888888886</v>
      </c>
      <c r="AJ1">
        <v>300</v>
      </c>
    </row>
    <row r="2" spans="4:36" s="70" customFormat="1" ht="19.5" customHeight="1">
      <c r="D2" s="113" t="s">
        <v>109</v>
      </c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4" t="s">
        <v>110</v>
      </c>
      <c r="P2" s="113" t="s">
        <v>111</v>
      </c>
      <c r="Q2" s="113"/>
      <c r="R2" s="113"/>
      <c r="S2" s="113"/>
      <c r="T2" s="113"/>
      <c r="U2" s="113"/>
      <c r="V2" s="113"/>
      <c r="W2" s="113"/>
      <c r="X2" s="113"/>
      <c r="Y2" s="113"/>
      <c r="Z2" s="113"/>
      <c r="AF2" s="70">
        <f>C4*1000/AF1</f>
        <v>46.95652173913044</v>
      </c>
      <c r="AH2"/>
      <c r="AI2"/>
      <c r="AJ2">
        <v>250</v>
      </c>
    </row>
    <row r="3" spans="3:36" s="70" customFormat="1" ht="19.5" customHeight="1">
      <c r="C3" s="115"/>
      <c r="D3" s="116">
        <v>120</v>
      </c>
      <c r="E3" s="116">
        <v>100</v>
      </c>
      <c r="F3" s="116">
        <v>90</v>
      </c>
      <c r="G3" s="116">
        <v>80</v>
      </c>
      <c r="H3" s="116">
        <v>70</v>
      </c>
      <c r="I3" s="116">
        <v>60</v>
      </c>
      <c r="J3" s="116">
        <v>50</v>
      </c>
      <c r="K3" s="116">
        <v>40</v>
      </c>
      <c r="L3" s="116">
        <v>30</v>
      </c>
      <c r="M3" s="116">
        <v>20</v>
      </c>
      <c r="N3" s="116">
        <v>10</v>
      </c>
      <c r="O3" s="117">
        <v>230</v>
      </c>
      <c r="P3" s="116">
        <v>10</v>
      </c>
      <c r="Q3" s="116">
        <v>20</v>
      </c>
      <c r="R3" s="116">
        <v>30</v>
      </c>
      <c r="S3" s="116">
        <v>40</v>
      </c>
      <c r="T3" s="116">
        <v>50</v>
      </c>
      <c r="U3" s="116">
        <v>60</v>
      </c>
      <c r="V3" s="116">
        <v>70</v>
      </c>
      <c r="W3" s="116">
        <v>80</v>
      </c>
      <c r="X3" s="116">
        <v>90</v>
      </c>
      <c r="Y3" s="116">
        <v>100</v>
      </c>
      <c r="Z3" s="116">
        <v>120</v>
      </c>
      <c r="AF3" s="112">
        <f>C4*1000/(AF2-N3)*3.6</f>
        <v>292.2352941176471</v>
      </c>
      <c r="AG3"/>
      <c r="AH3"/>
      <c r="AI3"/>
      <c r="AJ3"/>
    </row>
    <row r="4" spans="2:36" s="70" customFormat="1" ht="19.5" customHeight="1">
      <c r="B4" s="118" t="s">
        <v>112</v>
      </c>
      <c r="C4" s="117">
        <v>3</v>
      </c>
      <c r="D4" s="119">
        <f>C4*1000/((C4*1000/AF1)-D3)*3.6</f>
        <v>-147.85714285714286</v>
      </c>
      <c r="E4" s="120">
        <f>C4*1000/((C4*1000/AF1)-E3)*3.6</f>
        <v>-203.6065573770492</v>
      </c>
      <c r="F4" s="120">
        <f>C4*1000/((C4*1000/AF1)-F3)*3.6</f>
        <v>-250.90909090909093</v>
      </c>
      <c r="G4" s="120">
        <f>C4*1000/((C4*1000/AF1)-G3)*3.6</f>
        <v>-326.8421052631579</v>
      </c>
      <c r="H4" s="120">
        <f>C4*1000/((C4*1000/AF1)-H3)*3.6</f>
        <v>-468.67924528301893</v>
      </c>
      <c r="I4" s="120">
        <f>C4*1000/((C4*1000/AF1)-I3)*3.6</f>
        <v>-828.0000000000002</v>
      </c>
      <c r="J4" s="120">
        <f>C4*1000/((C4*1000/AF1)-J3)*3.6</f>
        <v>-3548.571428571431</v>
      </c>
      <c r="K4" s="120">
        <f>C4*1000/((C4*1000/AF1)-K3)*3.6</f>
        <v>1552.4999999999993</v>
      </c>
      <c r="L4" s="120">
        <f>C4*1000/((C4*1000/AF1)-L3)*3.6</f>
        <v>636.9230769230769</v>
      </c>
      <c r="M4" s="120">
        <f>C4*1000/((C4*1000/AF1)-M3)*3.6</f>
        <v>400.64516129032256</v>
      </c>
      <c r="N4" s="120">
        <f>C4*1000/((C4*1000/AF1)-N3)*3.6</f>
        <v>292.2352941176471</v>
      </c>
      <c r="O4" s="121"/>
      <c r="P4" s="120">
        <f>C4*1000/((C4*1000/AF1)+P3)*3.6</f>
        <v>189.61832061068702</v>
      </c>
      <c r="Q4" s="120">
        <f>C4*1000/((C4*1000/AF1)+Q3)*3.6</f>
        <v>161.2987012987013</v>
      </c>
      <c r="R4" s="120">
        <f>C4*1000/((C4*1000/AF1)+R3)*3.6</f>
        <v>140.33898305084745</v>
      </c>
      <c r="S4" s="120">
        <f>C4*1000/((C4*1000/AF1)+S3)*3.6</f>
        <v>124.2</v>
      </c>
      <c r="T4" s="120">
        <f>C4*1000/((C4*1000/AF1)+T3)*3.6</f>
        <v>111.39013452914797</v>
      </c>
      <c r="U4" s="120">
        <f>C4*1000/((C4*1000/AF1)+U3)*3.6</f>
        <v>100.97560975609755</v>
      </c>
      <c r="V4" s="120">
        <f>C4*1000/((C4*1000/AF1)+V3)*3.6</f>
        <v>92.34200743494424</v>
      </c>
      <c r="W4" s="120">
        <f>C4*1000/((C4*1000/AF1)+W3)*3.6</f>
        <v>85.06849315068493</v>
      </c>
      <c r="X4" s="120">
        <f>C4*1000/((C4*1000/AF1)+X3)*3.6</f>
        <v>78.85714285714286</v>
      </c>
      <c r="Y4" s="120">
        <f>C4*1000/((C4*1000/AF1)+Y3)*3.6</f>
        <v>73.49112426035504</v>
      </c>
      <c r="Z4" s="122">
        <f>C4*1000/((C4*1000/AF1)+Z3)*3.6</f>
        <v>64.6875</v>
      </c>
      <c r="AF4" s="123">
        <v>301</v>
      </c>
      <c r="AG4"/>
      <c r="AH4"/>
      <c r="AI4"/>
      <c r="AJ4"/>
    </row>
    <row r="5" spans="2:36" s="70" customFormat="1" ht="19.5" customHeight="1">
      <c r="B5" s="118"/>
      <c r="C5" s="117">
        <v>4</v>
      </c>
      <c r="D5" s="124">
        <f>C5*1000/((C5*1000/AF1)-D3)*3.6</f>
        <v>-250.90909090909093</v>
      </c>
      <c r="E5" s="125">
        <f>C5*1000/((C5*1000/AF1)-E3)*3.6</f>
        <v>-385.1162790697675</v>
      </c>
      <c r="F5" s="125">
        <f>C5*1000/((C5*1000/AF1)-F3)*3.6</f>
        <v>-525.7142857142857</v>
      </c>
      <c r="G5" s="125">
        <f>C5*1000/((C5*1000/AF1)-G3)*3.6</f>
        <v>-828</v>
      </c>
      <c r="H5" s="125">
        <f>C5*1000/((C5*1000/AF1)-H3)*3.6</f>
        <v>-1948.2352941176473</v>
      </c>
      <c r="I5" s="125">
        <f>C5*1000/((C5*1000/AF1)-I3)*3.6</f>
        <v>5519.999999999998</v>
      </c>
      <c r="J5" s="125">
        <f>C5*1000/((C5*1000/AF1)-J3)*3.6</f>
        <v>1142.0689655172414</v>
      </c>
      <c r="K5" s="125">
        <f>C5*1000/((C5*1000/AF1)-K3)*3.6</f>
        <v>636.9230769230769</v>
      </c>
      <c r="L5" s="125">
        <f>C5*1000/((C5*1000/AF1)-L3)*3.6</f>
        <v>441.59999999999997</v>
      </c>
      <c r="M5" s="125">
        <f>C5*1000/((C5*1000/AF1)-M3)*3.6</f>
        <v>337.9591836734694</v>
      </c>
      <c r="N5" s="125">
        <f>C5*1000/((C5*1000/AF1)-N3)*3.6</f>
        <v>273.7190082644628</v>
      </c>
      <c r="O5" s="126"/>
      <c r="P5" s="125">
        <f>C5*1000/((C5*1000/AF1)+P3)*3.6</f>
        <v>198.3233532934132</v>
      </c>
      <c r="Q5" s="125">
        <f>C5*1000/((C5*1000/AF1)+Q3)*3.6</f>
        <v>174.31578947368422</v>
      </c>
      <c r="R5" s="125">
        <f>C5*1000/((C5*1000/AF1)+R3)*3.6</f>
        <v>155.49295774647888</v>
      </c>
      <c r="S5" s="125">
        <f>C5*1000/((C5*1000/AF1)+S3)*3.6</f>
        <v>140.33898305084745</v>
      </c>
      <c r="T5" s="125">
        <f>C5*1000/((C5*1000/AF1)+T3)*3.6</f>
        <v>127.8764478764479</v>
      </c>
      <c r="U5" s="125">
        <f>C5*1000/((C5*1000/AF1)+U3)*3.6</f>
        <v>117.44680851063829</v>
      </c>
      <c r="V5" s="125">
        <f>C5*1000/((C5*1000/AF1)+V3)*3.6</f>
        <v>108.59016393442624</v>
      </c>
      <c r="W5" s="125">
        <f>C5*1000/((C5*1000/AF1)+W3)*3.6</f>
        <v>100.97560975609757</v>
      </c>
      <c r="X5" s="125">
        <f>C5*1000/((C5*1000/AF1)+X3)*3.6</f>
        <v>94.35897435897436</v>
      </c>
      <c r="Y5" s="125">
        <f>C5*1000/((C5*1000/AF1)+Y3)*3.6</f>
        <v>88.55614973262033</v>
      </c>
      <c r="Z5" s="127">
        <f>C5*1000/((C5*1000/AF1)+Z3)*3.6</f>
        <v>78.85714285714286</v>
      </c>
      <c r="AF5" s="123">
        <v>200</v>
      </c>
      <c r="AG5" s="112" t="e">
        <f>NA()</f>
        <v>#N/A</v>
      </c>
      <c r="AH5"/>
      <c r="AI5"/>
      <c r="AJ5"/>
    </row>
    <row r="6" spans="2:26" s="70" customFormat="1" ht="19.5" customHeight="1">
      <c r="B6" s="118"/>
      <c r="C6" s="117">
        <v>5</v>
      </c>
      <c r="D6" s="124">
        <f>C6*1000/((C6*1000/AF1)-D3)*3.6</f>
        <v>-431.25</v>
      </c>
      <c r="E6" s="125">
        <f>C6*1000/((C6*1000/AF1)-E3)*3.6</f>
        <v>-828</v>
      </c>
      <c r="F6" s="125">
        <f>C6*1000/((C6*1000/AF1)-F3)*3.6</f>
        <v>-1533.3333333333333</v>
      </c>
      <c r="G6" s="125">
        <f>C6*1000/((C6*1000/AF1)-G3)*3.6</f>
        <v>-10349.999999999996</v>
      </c>
      <c r="H6" s="125">
        <f>C6*1000/((C6*1000/AF1)-H3)*3.6</f>
        <v>2178.947368421053</v>
      </c>
      <c r="I6" s="125">
        <f>C6*1000/((C6*1000/AF1)-I3)*3.6</f>
        <v>985.7142857142857</v>
      </c>
      <c r="J6" s="125">
        <f>C6*1000/((C6*1000/AF1)-J3)*3.6</f>
        <v>636.923076923077</v>
      </c>
      <c r="K6" s="125">
        <f>C6*1000/((C6*1000/AF1)-K3)*3.6</f>
        <v>470.4545454545455</v>
      </c>
      <c r="L6" s="125">
        <f>C6*1000/((C6*1000/AF1)-L3)*3.6</f>
        <v>372.97297297297297</v>
      </c>
      <c r="M6" s="125">
        <f>C6*1000/((C6*1000/AF1)-M3)*3.6</f>
        <v>308.95522388059703</v>
      </c>
      <c r="N6" s="125">
        <f>C6*1000/((C6*1000/AF1)-N3)*3.6</f>
        <v>263.69426751592357</v>
      </c>
      <c r="O6" s="126"/>
      <c r="P6" s="125">
        <f>C6*1000/((C6*1000/AF1)+P3)*3.6</f>
        <v>203.9408866995074</v>
      </c>
      <c r="Q6" s="125">
        <f>C6*1000/((C6*1000/AF1)+Q3)*3.6</f>
        <v>183.18584070796462</v>
      </c>
      <c r="R6" s="125">
        <f>C6*1000/((C6*1000/AF1)+R3)*3.6</f>
        <v>166.26506024096386</v>
      </c>
      <c r="S6" s="125">
        <f>C6*1000/((C6*1000/AF1)+S3)*3.6</f>
        <v>152.2058823529412</v>
      </c>
      <c r="T6" s="125">
        <f>C6*1000/((C6*1000/AF1)+T3)*3.6</f>
        <v>140.33898305084747</v>
      </c>
      <c r="U6" s="125">
        <f>C6*1000/((C6*1000/AF1)+U3)*3.6</f>
        <v>130.18867924528303</v>
      </c>
      <c r="V6" s="125">
        <f>C6*1000/((C6*1000/AF1)+V3)*3.6</f>
        <v>121.4076246334311</v>
      </c>
      <c r="W6" s="125">
        <f>C6*1000/((C6*1000/AF1)+W3)*3.6</f>
        <v>113.73626373626374</v>
      </c>
      <c r="X6" s="125">
        <f>C6*1000/((C6*1000/AF1)+X3)*3.6</f>
        <v>106.97674418604653</v>
      </c>
      <c r="Y6" s="125">
        <f>C6*1000/((C6*1000/AF1)+Y3)*3.6</f>
        <v>100.97560975609757</v>
      </c>
      <c r="Z6" s="127">
        <f>C6*1000/((C6*1000/AF1)+Z3)*3.6</f>
        <v>90.78947368421053</v>
      </c>
    </row>
    <row r="7" spans="2:26" s="70" customFormat="1" ht="19.5" customHeight="1">
      <c r="B7" s="118"/>
      <c r="C7" s="117">
        <v>7.5</v>
      </c>
      <c r="D7" s="124">
        <f>C7*1000/((C7*1000/AF1)-D3)*3.6</f>
        <v>-10350.000000000025</v>
      </c>
      <c r="E7" s="125">
        <f>C7*1000/((C7*1000/AF1)-E3)*3.6</f>
        <v>1552.4999999999993</v>
      </c>
      <c r="F7" s="125">
        <f>C7*1000/((C7*1000/AF1)-F3)*3.6</f>
        <v>985.7142857142854</v>
      </c>
      <c r="G7" s="125">
        <f>C7*1000/((C7*1000/AF1)-G3)*3.6</f>
        <v>722.0930232558138</v>
      </c>
      <c r="H7" s="125">
        <f>C7*1000/((C7*1000/AF1)-H3)*3.6</f>
        <v>569.7247706422017</v>
      </c>
      <c r="I7" s="125">
        <f>C7*1000/((C7*1000/AF1)-I3)*3.6</f>
        <v>470.4545454545454</v>
      </c>
      <c r="J7" s="125">
        <f>C7*1000/((C7*1000/AF1)-J3)*3.6</f>
        <v>400.64516129032256</v>
      </c>
      <c r="K7" s="125">
        <f>C7*1000/((C7*1000/AF1)-K3)*3.6</f>
        <v>348.876404494382</v>
      </c>
      <c r="L7" s="125">
        <f>C7*1000/((C7*1000/AF1)-L3)*3.6</f>
        <v>308.95522388059703</v>
      </c>
      <c r="M7" s="125">
        <f>C7*1000/((C7*1000/AF1)-M3)*3.6</f>
        <v>277.23214285714283</v>
      </c>
      <c r="N7" s="125">
        <f>C7*1000/((C7*1000/AF1)-N3)*3.6</f>
        <v>251.41700404858298</v>
      </c>
      <c r="O7" s="126"/>
      <c r="P7" s="125">
        <f>C7*1000/((C7*1000/AF1)+P3)*3.6</f>
        <v>211.94539249146757</v>
      </c>
      <c r="Q7" s="125">
        <f>C7*1000/((C7*1000/AF1)+Q3)*3.6</f>
        <v>196.51898734177215</v>
      </c>
      <c r="R7" s="125">
        <f>C7*1000/((C7*1000/AF1)+R3)*3.6</f>
        <v>183.1858407079646</v>
      </c>
      <c r="S7" s="125">
        <f>C7*1000/((C7*1000/AF1)+S3)*3.6</f>
        <v>171.54696132596683</v>
      </c>
      <c r="T7" s="125">
        <f>C7*1000/((C7*1000/AF1)+T3)*3.6</f>
        <v>161.2987012987013</v>
      </c>
      <c r="U7" s="125">
        <f>C7*1000/((C7*1000/AF1)+U3)*3.6</f>
        <v>152.2058823529412</v>
      </c>
      <c r="V7" s="125">
        <f>C7*1000/((C7*1000/AF1)+V3)*3.6</f>
        <v>144.08352668213456</v>
      </c>
      <c r="W7" s="125">
        <f>C7*1000/((C7*1000/AF1)+W3)*3.6</f>
        <v>136.784140969163</v>
      </c>
      <c r="X7" s="125">
        <f>C7*1000/((C7*1000/AF1)+X3)*3.6</f>
        <v>130.18867924528303</v>
      </c>
      <c r="Y7" s="125">
        <f>C7*1000/((C7*1000/AF1)+Y3)*3.6</f>
        <v>124.2</v>
      </c>
      <c r="Z7" s="127">
        <f>C7*1000/((C7*1000/AF1)+Z3)*3.6</f>
        <v>113.73626373626374</v>
      </c>
    </row>
    <row r="8" spans="2:26" s="70" customFormat="1" ht="19.5" customHeight="1">
      <c r="B8" s="118"/>
      <c r="C8" s="117">
        <v>10</v>
      </c>
      <c r="D8" s="124">
        <f>C8*1000/((C8*1000/AF1)-D3)*3.6</f>
        <v>985.7142857142857</v>
      </c>
      <c r="E8" s="125">
        <f>C8*1000/((C8*1000/AF1)-E3)*3.6</f>
        <v>636.923076923077</v>
      </c>
      <c r="F8" s="125">
        <f>C8*1000/((C8*1000/AF1)-F3)*3.6</f>
        <v>541.1764705882354</v>
      </c>
      <c r="G8" s="125">
        <f>C8*1000/((C8*1000/AF1)-G3)*3.6</f>
        <v>470.4545454545455</v>
      </c>
      <c r="H8" s="125">
        <f>C8*1000/((C8*1000/AF1)-H3)*3.6</f>
        <v>416.0804020100503</v>
      </c>
      <c r="I8" s="125">
        <f>C8*1000/((C8*1000/AF1)-I3)*3.6</f>
        <v>372.97297297297297</v>
      </c>
      <c r="J8" s="125">
        <f>C8*1000/((C8*1000/AF1)-J3)*3.6</f>
        <v>337.9591836734694</v>
      </c>
      <c r="K8" s="125">
        <f>C8*1000/((C8*1000/AF1)-K3)*3.6</f>
        <v>308.95522388059703</v>
      </c>
      <c r="L8" s="125">
        <f>C8*1000/((C8*1000/AF1)-L3)*3.6</f>
        <v>284.5360824742268</v>
      </c>
      <c r="M8" s="125">
        <f>C8*1000/((C8*1000/AF1)-M3)*3.6</f>
        <v>263.69426751592357</v>
      </c>
      <c r="N8" s="125">
        <f>C8*1000/((C8*1000/AF1)-N3)*3.6</f>
        <v>245.6973293768546</v>
      </c>
      <c r="O8" s="126"/>
      <c r="P8" s="125">
        <f>C8*1000/((C8*1000/AF1)+P3)*3.6</f>
        <v>216.1879895561358</v>
      </c>
      <c r="Q8" s="125">
        <f>C8*1000/((C8*1000/AF1)+Q3)*3.6</f>
        <v>203.9408866995074</v>
      </c>
      <c r="R8" s="125">
        <f>C8*1000/((C8*1000/AF1)+R3)*3.6</f>
        <v>193.006993006993</v>
      </c>
      <c r="S8" s="125">
        <f>C8*1000/((C8*1000/AF1)+S3)*3.6</f>
        <v>183.18584070796462</v>
      </c>
      <c r="T8" s="125">
        <f>C8*1000/((C8*1000/AF1)+T3)*3.6</f>
        <v>174.31578947368422</v>
      </c>
      <c r="U8" s="125">
        <f>C8*1000/((C8*1000/AF1)+U3)*3.6</f>
        <v>166.26506024096386</v>
      </c>
      <c r="V8" s="125">
        <f>C8*1000/((C8*1000/AF1)+V3)*3.6</f>
        <v>158.92514395393474</v>
      </c>
      <c r="W8" s="125">
        <f>C8*1000/((C8*1000/AF1)+W3)*3.6</f>
        <v>152.2058823529412</v>
      </c>
      <c r="X8" s="125">
        <f>C8*1000/((C8*1000/AF1)+X3)*3.6</f>
        <v>146.03174603174605</v>
      </c>
      <c r="Y8" s="125">
        <f>C8*1000/((C8*1000/AF1)+Y3)*3.6</f>
        <v>140.33898305084747</v>
      </c>
      <c r="Z8" s="127">
        <f>C8*1000/((C8*1000/AF1)+Z3)*3.6</f>
        <v>130.18867924528303</v>
      </c>
    </row>
    <row r="9" spans="2:26" s="70" customFormat="1" ht="19.5" customHeight="1">
      <c r="B9" s="118"/>
      <c r="C9" s="117">
        <v>12.5</v>
      </c>
      <c r="D9" s="124">
        <f>C9*1000/((C9*1000/AF1)-D3)*3.6</f>
        <v>594.8275862068964</v>
      </c>
      <c r="E9" s="125">
        <f>C9*1000/((C9*1000/AF1)-E3)*3.6</f>
        <v>470.4545454545454</v>
      </c>
      <c r="F9" s="125">
        <f>C9*1000/((C9*1000/AF1)-F3)*3.6</f>
        <v>425.92592592592587</v>
      </c>
      <c r="G9" s="125">
        <f>C9*1000/((C9*1000/AF1)-G3)*3.6</f>
        <v>389.0977443609022</v>
      </c>
      <c r="H9" s="125">
        <f>C9*1000/((C9*1000/AF1)-H3)*3.6</f>
        <v>358.13148788927333</v>
      </c>
      <c r="I9" s="125">
        <f>C9*1000/((C9*1000/AF1)-I3)*3.6</f>
        <v>331.73076923076917</v>
      </c>
      <c r="J9" s="125">
        <f>C9*1000/((C9*1000/AF1)-J3)*3.6</f>
        <v>308.955223880597</v>
      </c>
      <c r="K9" s="125">
        <f>C9*1000/((C9*1000/AF1)-K3)*3.6</f>
        <v>289.1061452513966</v>
      </c>
      <c r="L9" s="125">
        <f>C9*1000/((C9*1000/AF1)-L3)*3.6</f>
        <v>271.6535433070866</v>
      </c>
      <c r="M9" s="125">
        <f>C9*1000/((C9*1000/AF1)-M3)*3.6</f>
        <v>256.18811881188117</v>
      </c>
      <c r="N9" s="125">
        <f>C9*1000/((C9*1000/AF1)-N3)*3.6</f>
        <v>242.38875878220142</v>
      </c>
      <c r="O9" s="126"/>
      <c r="P9" s="125">
        <f>C9*1000/((C9*1000/AF1)+P3)*3.6</f>
        <v>218.81606765327695</v>
      </c>
      <c r="Q9" s="125">
        <f>C9*1000/((C9*1000/AF1)+Q3)*3.6</f>
        <v>208.66935483870967</v>
      </c>
      <c r="R9" s="125">
        <f>C9*1000/((C9*1000/AF1)+R3)*3.6</f>
        <v>199.42196531791907</v>
      </c>
      <c r="S9" s="125">
        <f>C9*1000/((C9*1000/AF1)+S3)*3.6</f>
        <v>190.95940959409592</v>
      </c>
      <c r="T9" s="125">
        <f>C9*1000/((C9*1000/AF1)+T3)*3.6</f>
        <v>183.1858407079646</v>
      </c>
      <c r="U9" s="125">
        <f>C9*1000/((C9*1000/AF1)+U3)*3.6</f>
        <v>176.0204081632653</v>
      </c>
      <c r="V9" s="125">
        <f>C9*1000/((C9*1000/AF1)+V3)*3.6</f>
        <v>169.39443535188215</v>
      </c>
      <c r="W9" s="125">
        <f>C9*1000/((C9*1000/AF1)+W3)*3.6</f>
        <v>163.24921135646687</v>
      </c>
      <c r="X9" s="125">
        <f>C9*1000/((C9*1000/AF1)+X3)*3.6</f>
        <v>157.53424657534245</v>
      </c>
      <c r="Y9" s="125">
        <f>C9*1000/((C9*1000/AF1)+Y3)*3.6</f>
        <v>152.20588235294116</v>
      </c>
      <c r="Z9" s="127">
        <f>C9*1000/((C9*1000/AF1)+Z3)*3.6</f>
        <v>142.56198347107437</v>
      </c>
    </row>
    <row r="10" spans="2:26" s="70" customFormat="1" ht="19.5" customHeight="1">
      <c r="B10" s="118"/>
      <c r="C10" s="117">
        <v>15</v>
      </c>
      <c r="D10" s="124">
        <f>C10*1000/((C10*1000/AF1)-D3)*3.6</f>
        <v>470.4545454545454</v>
      </c>
      <c r="E10" s="125">
        <f>C10*1000/((C10*1000/AF1)-E3)*3.6</f>
        <v>400.64516129032256</v>
      </c>
      <c r="F10" s="125">
        <f>C10*1000/((C10*1000/AF1)-F3)*3.6</f>
        <v>372.9729729729729</v>
      </c>
      <c r="G10" s="125">
        <f>C10*1000/((C10*1000/AF1)-G3)*3.6</f>
        <v>348.876404494382</v>
      </c>
      <c r="H10" s="125">
        <f>C10*1000/((C10*1000/AF1)-H3)*3.6</f>
        <v>327.70448548812664</v>
      </c>
      <c r="I10" s="125">
        <f>C10*1000/((C10*1000/AF1)-I3)*3.6</f>
        <v>308.95522388059703</v>
      </c>
      <c r="J10" s="125">
        <f>C10*1000/((C10*1000/AF1)-J3)*3.6</f>
        <v>292.2352941176471</v>
      </c>
      <c r="K10" s="125">
        <f>C10*1000/((C10*1000/AF1)-K3)*3.6</f>
        <v>277.23214285714283</v>
      </c>
      <c r="L10" s="125">
        <f>C10*1000/((C10*1000/AF1)-L3)*3.6</f>
        <v>263.6942675159235</v>
      </c>
      <c r="M10" s="125">
        <f>C10*1000/((C10*1000/AF1)-M3)*3.6</f>
        <v>251.41700404858298</v>
      </c>
      <c r="N10" s="125">
        <f>C10*1000/((C10*1000/AF1)-N3)*3.6</f>
        <v>240.23210831721468</v>
      </c>
      <c r="O10" s="126"/>
      <c r="P10" s="125">
        <f>C10*1000/((C10*1000/AF1)+P3)*3.6</f>
        <v>220.6039076376554</v>
      </c>
      <c r="Q10" s="125">
        <f>C10*1000/((C10*1000/AF1)+Q3)*3.6</f>
        <v>211.94539249146757</v>
      </c>
      <c r="R10" s="125">
        <f>C10*1000/((C10*1000/AF1)+R3)*3.6</f>
        <v>203.9408866995074</v>
      </c>
      <c r="S10" s="125">
        <f>C10*1000/((C10*1000/AF1)+S3)*3.6</f>
        <v>196.51898734177215</v>
      </c>
      <c r="T10" s="125">
        <f>C10*1000/((C10*1000/AF1)+T3)*3.6</f>
        <v>189.61832061068702</v>
      </c>
      <c r="U10" s="125">
        <f>C10*1000/((C10*1000/AF1)+U3)*3.6</f>
        <v>183.1858407079646</v>
      </c>
      <c r="V10" s="125">
        <f>C10*1000/((C10*1000/AF1)+V3)*3.6</f>
        <v>177.17546362339513</v>
      </c>
      <c r="W10" s="125">
        <f>C10*1000/((C10*1000/AF1)+W3)*3.6</f>
        <v>171.54696132596683</v>
      </c>
      <c r="X10" s="125">
        <f>C10*1000/((C10*1000/AF1)+X3)*3.6</f>
        <v>166.26506024096386</v>
      </c>
      <c r="Y10" s="125">
        <f>C10*1000/((C10*1000/AF1)+Y3)*3.6</f>
        <v>161.2987012987013</v>
      </c>
      <c r="Z10" s="127">
        <f>C10*1000/((C10*1000/AF1)+Z3)*3.6</f>
        <v>152.2058823529412</v>
      </c>
    </row>
    <row r="11" spans="2:26" s="70" customFormat="1" ht="19.5" customHeight="1">
      <c r="B11" s="118"/>
      <c r="C11" s="128">
        <v>17.5</v>
      </c>
      <c r="D11" s="124">
        <f>C11*1000/((C11*1000/AF1)-D3)*3.6</f>
        <v>409.32203389830505</v>
      </c>
      <c r="E11" s="125">
        <f>C11*1000/((C11*1000/AF1)-E3)*3.6</f>
        <v>362.25</v>
      </c>
      <c r="F11" s="125">
        <f>C11*1000/((C11*1000/AF1)-F3)*3.6</f>
        <v>342.5531914893617</v>
      </c>
      <c r="G11" s="125">
        <f>C11*1000/((C11*1000/AF1)-G3)*3.6</f>
        <v>324.88789237668163</v>
      </c>
      <c r="H11" s="125">
        <f>C11*1000/((C11*1000/AF1)-H3)*3.6</f>
        <v>308.95522388059703</v>
      </c>
      <c r="I11" s="125">
        <f>C11*1000/((C11*1000/AF1)-I3)*3.6</f>
        <v>294.51219512195127</v>
      </c>
      <c r="J11" s="125">
        <f>C11*1000/((C11*1000/AF1)-J3)*3.6</f>
        <v>281.3592233009709</v>
      </c>
      <c r="K11" s="125">
        <f>C11*1000/((C11*1000/AF1)-K3)*3.6</f>
        <v>269.33085501858733</v>
      </c>
      <c r="L11" s="125">
        <f>C11*1000/((C11*1000/AF1)-L3)*3.6</f>
        <v>258.28877005347596</v>
      </c>
      <c r="M11" s="125">
        <f>C11*1000/((C11*1000/AF1)-M3)*3.6</f>
        <v>248.11643835616437</v>
      </c>
      <c r="N11" s="125">
        <f>C11*1000/((C11*1000/AF1)-N3)*3.6</f>
        <v>238.71499176276768</v>
      </c>
      <c r="O11" s="126"/>
      <c r="P11" s="125">
        <f>C11*1000/((C11*1000/AF1)+P3)*3.6</f>
        <v>221.89892802450228</v>
      </c>
      <c r="Q11" s="125">
        <f>C11*1000/((C11*1000/AF1)+Q3)*3.6</f>
        <v>214.3491124260355</v>
      </c>
      <c r="R11" s="125">
        <f>C11*1000/((C11*1000/AF1)+R3)*3.6</f>
        <v>207.29613733905578</v>
      </c>
      <c r="S11" s="125">
        <f>C11*1000/((C11*1000/AF1)+S3)*3.6</f>
        <v>200.69252077562328</v>
      </c>
      <c r="T11" s="125">
        <f>C11*1000/((C11*1000/AF1)+T3)*3.6</f>
        <v>194.49664429530202</v>
      </c>
      <c r="U11" s="125">
        <f>C11*1000/((C11*1000/AF1)+U3)*3.6</f>
        <v>188.671875</v>
      </c>
      <c r="V11" s="125">
        <f>C11*1000/((C11*1000/AF1)+V3)*3.6</f>
        <v>183.18584070796462</v>
      </c>
      <c r="W11" s="125">
        <f>C11*1000/((C11*1000/AF1)+W3)*3.6</f>
        <v>178.00982800982803</v>
      </c>
      <c r="X11" s="125">
        <f>C11*1000/((C11*1000/AF1)+X3)*3.6</f>
        <v>173.11827956989248</v>
      </c>
      <c r="Y11" s="125">
        <f>C11*1000/((C11*1000/AF1)+Y3)*3.6</f>
        <v>168.48837209302326</v>
      </c>
      <c r="Z11" s="127">
        <f>C11*1000/((C11*1000/AF1)+Z3)*3.6</f>
        <v>159.9337748344371</v>
      </c>
    </row>
    <row r="12" spans="2:26" s="70" customFormat="1" ht="19.5" customHeight="1">
      <c r="B12" s="118"/>
      <c r="C12" s="117">
        <v>20</v>
      </c>
      <c r="D12" s="124">
        <f>C12*1000/((C12*1000/AF1)-D3)*3.6</f>
        <v>372.97297297297297</v>
      </c>
      <c r="E12" s="125">
        <f>C12*1000/((C12*1000/AF1)-E3)*3.6</f>
        <v>337.9591836734694</v>
      </c>
      <c r="F12" s="125">
        <f>C12*1000/((C12*1000/AF1)-F3)*3.6</f>
        <v>322.8070175438597</v>
      </c>
      <c r="G12" s="125">
        <f>C12*1000/((C12*1000/AF1)-G3)*3.6</f>
        <v>308.95522388059703</v>
      </c>
      <c r="H12" s="125">
        <f>C12*1000/((C12*1000/AF1)-H3)*3.6</f>
        <v>296.2432915921288</v>
      </c>
      <c r="I12" s="125">
        <f>C12*1000/((C12*1000/AF1)-I3)*3.6</f>
        <v>284.5360824742268</v>
      </c>
      <c r="J12" s="125">
        <f>C12*1000/((C12*1000/AF1)-J3)*3.6</f>
        <v>273.71900826446284</v>
      </c>
      <c r="K12" s="125">
        <f>C12*1000/((C12*1000/AF1)-K3)*3.6</f>
        <v>263.69426751592357</v>
      </c>
      <c r="L12" s="125">
        <f>C12*1000/((C12*1000/AF1)-L3)*3.6</f>
        <v>254.37788018433181</v>
      </c>
      <c r="M12" s="125">
        <f>C12*1000/((C12*1000/AF1)-M3)*3.6</f>
        <v>245.6973293768546</v>
      </c>
      <c r="N12" s="125">
        <f>C12*1000/((C12*1000/AF1)-N3)*3.6</f>
        <v>237.5896700143472</v>
      </c>
      <c r="O12" s="126"/>
      <c r="P12" s="125">
        <f>C12*1000/((C12*1000/AF1)+P3)*3.6</f>
        <v>222.88021534320325</v>
      </c>
      <c r="Q12" s="125">
        <f>C12*1000/((C12*1000/AF1)+Q3)*3.6</f>
        <v>216.1879895561358</v>
      </c>
      <c r="R12" s="125">
        <f>C12*1000/((C12*1000/AF1)+R3)*3.6</f>
        <v>209.88593155893537</v>
      </c>
      <c r="S12" s="125">
        <f>C12*1000/((C12*1000/AF1)+S3)*3.6</f>
        <v>203.9408866995074</v>
      </c>
      <c r="T12" s="125">
        <f>C12*1000/((C12*1000/AF1)+T3)*3.6</f>
        <v>198.3233532934132</v>
      </c>
      <c r="U12" s="125">
        <f>C12*1000/((C12*1000/AF1)+U3)*3.6</f>
        <v>193.006993006993</v>
      </c>
      <c r="V12" s="125">
        <f>C12*1000/((C12*1000/AF1)+V3)*3.6</f>
        <v>187.96821793416575</v>
      </c>
      <c r="W12" s="125">
        <f>C12*1000/((C12*1000/AF1)+W3)*3.6</f>
        <v>183.18584070796462</v>
      </c>
      <c r="X12" s="125">
        <f>C12*1000/((C12*1000/AF1)+X3)*3.6</f>
        <v>178.64077669902915</v>
      </c>
      <c r="Y12" s="125">
        <f>C12*1000/((C12*1000/AF1)+Y3)*3.6</f>
        <v>174.31578947368422</v>
      </c>
      <c r="Z12" s="127">
        <f>C12*1000/((C12*1000/AF1)+Z3)*3.6</f>
        <v>166.26506024096386</v>
      </c>
    </row>
    <row r="13" spans="2:26" s="70" customFormat="1" ht="19.5" customHeight="1">
      <c r="B13" s="118"/>
      <c r="C13" s="128">
        <v>22.5</v>
      </c>
      <c r="D13" s="124">
        <f>C13*1000/((C13*1000/AF1)-D3)*3.6</f>
        <v>348.87640449438203</v>
      </c>
      <c r="E13" s="125">
        <f>C13*1000/((C13*1000/AF1)-E3)*3.6</f>
        <v>321.2068965517242</v>
      </c>
      <c r="F13" s="125">
        <f>C13*1000/((C13*1000/AF1)-F3)*3.6</f>
        <v>308.95522388059703</v>
      </c>
      <c r="G13" s="125">
        <f>C13*1000/((C13*1000/AF1)-G3)*3.6</f>
        <v>297.6038338658147</v>
      </c>
      <c r="H13" s="125">
        <f>C13*1000/((C13*1000/AF1)-H3)*3.6</f>
        <v>287.0570107858244</v>
      </c>
      <c r="I13" s="125">
        <f>C13*1000/((C13*1000/AF1)-I3)*3.6</f>
        <v>277.23214285714283</v>
      </c>
      <c r="J13" s="125">
        <f>C13*1000/((C13*1000/AF1)-J3)*3.6</f>
        <v>268.0575539568345</v>
      </c>
      <c r="K13" s="125">
        <f>C13*1000/((C13*1000/AF1)-K3)*3.6</f>
        <v>259.4707520891365</v>
      </c>
      <c r="L13" s="125">
        <f>C13*1000/((C13*1000/AF1)-L3)*3.6</f>
        <v>251.41700404858298</v>
      </c>
      <c r="M13" s="125">
        <f>C13*1000/((C13*1000/AF1)-M3)*3.6</f>
        <v>243.84816753926705</v>
      </c>
      <c r="N13" s="125">
        <f>C13*1000/((C13*1000/AF1)-N3)*3.6</f>
        <v>236.72172808132152</v>
      </c>
      <c r="O13" s="126"/>
      <c r="P13" s="125">
        <f>C13*1000/((C13*1000/AF1)+P3)*3.6</f>
        <v>223.64945978391358</v>
      </c>
      <c r="Q13" s="125">
        <f>C13*1000/((C13*1000/AF1)+Q3)*3.6</f>
        <v>217.64018691588785</v>
      </c>
      <c r="R13" s="125">
        <f>C13*1000/((C13*1000/AF1)+R3)*3.6</f>
        <v>211.94539249146757</v>
      </c>
      <c r="S13" s="125">
        <f>C13*1000/((C13*1000/AF1)+S3)*3.6</f>
        <v>206.54101995565412</v>
      </c>
      <c r="T13" s="125">
        <f>C13*1000/((C13*1000/AF1)+T3)*3.6</f>
        <v>201.4054054054054</v>
      </c>
      <c r="U13" s="125">
        <f>C13*1000/((C13*1000/AF1)+U3)*3.6</f>
        <v>196.51898734177217</v>
      </c>
      <c r="V13" s="125">
        <f>C13*1000/((C13*1000/AF1)+V3)*3.6</f>
        <v>191.86405767250258</v>
      </c>
      <c r="W13" s="125">
        <f>C13*1000/((C13*1000/AF1)+W3)*3.6</f>
        <v>187.42454728370222</v>
      </c>
      <c r="X13" s="125">
        <f>C13*1000/((C13*1000/AF1)+X3)*3.6</f>
        <v>183.18584070796462</v>
      </c>
      <c r="Y13" s="125">
        <f>C13*1000/((C13*1000/AF1)+Y3)*3.6</f>
        <v>179.1346153846154</v>
      </c>
      <c r="Z13" s="127">
        <f>C13*1000/((C13*1000/AF1)+Z3)*3.6</f>
        <v>171.54696132596686</v>
      </c>
    </row>
    <row r="14" spans="2:26" s="70" customFormat="1" ht="19.5" customHeight="1">
      <c r="B14" s="118"/>
      <c r="C14" s="117">
        <v>25</v>
      </c>
      <c r="D14" s="124">
        <f>C14*1000/((C14*1000/AF1)-D3)*3.6</f>
        <v>331.73076923076917</v>
      </c>
      <c r="E14" s="125">
        <f>C14*1000/((C14*1000/AF1)-E3)*3.6</f>
        <v>308.955223880597</v>
      </c>
      <c r="F14" s="125">
        <f>C14*1000/((C14*1000/AF1)-F3)*3.6</f>
        <v>298.70129870129864</v>
      </c>
      <c r="G14" s="125">
        <f>C14*1000/((C14*1000/AF1)-G3)*3.6</f>
        <v>289.1061452513966</v>
      </c>
      <c r="H14" s="125">
        <f>C14*1000/((C14*1000/AF1)-H3)*3.6</f>
        <v>280.1082543978349</v>
      </c>
      <c r="I14" s="125">
        <f>C14*1000/((C14*1000/AF1)-I3)*3.6</f>
        <v>271.6535433070866</v>
      </c>
      <c r="J14" s="125">
        <f>C14*1000/((C14*1000/AF1)-J3)*3.6</f>
        <v>263.6942675159235</v>
      </c>
      <c r="K14" s="125">
        <f>C14*1000/((C14*1000/AF1)-K3)*3.6</f>
        <v>256.18811881188117</v>
      </c>
      <c r="L14" s="125">
        <f>C14*1000/((C14*1000/AF1)-L3)*3.6</f>
        <v>249.0974729241877</v>
      </c>
      <c r="M14" s="125">
        <f>C14*1000/((C14*1000/AF1)-M3)*3.6</f>
        <v>242.38875878220142</v>
      </c>
      <c r="N14" s="125">
        <f>C14*1000/((C14*1000/AF1)-N3)*3.6</f>
        <v>236.03192702394523</v>
      </c>
      <c r="O14" s="126"/>
      <c r="P14" s="125">
        <f>C14*1000/((C14*1000/AF1)+P3)*3.6</f>
        <v>224.26868905742143</v>
      </c>
      <c r="Q14" s="125">
        <f>C14*1000/((C14*1000/AF1)+Q3)*3.6</f>
        <v>218.81606765327695</v>
      </c>
      <c r="R14" s="125">
        <f>C14*1000/((C14*1000/AF1)+R3)*3.6</f>
        <v>213.62229102167183</v>
      </c>
      <c r="S14" s="125">
        <f>C14*1000/((C14*1000/AF1)+S3)*3.6</f>
        <v>208.66935483870967</v>
      </c>
      <c r="T14" s="125">
        <f>C14*1000/((C14*1000/AF1)+T3)*3.6</f>
        <v>203.94088669950736</v>
      </c>
      <c r="U14" s="125">
        <f>C14*1000/((C14*1000/AF1)+U3)*3.6</f>
        <v>199.42196531791907</v>
      </c>
      <c r="V14" s="125">
        <f>C14*1000/((C14*1000/AF1)+V3)*3.6</f>
        <v>195.0989632422243</v>
      </c>
      <c r="W14" s="125">
        <f>C14*1000/((C14*1000/AF1)+W3)*3.6</f>
        <v>190.95940959409592</v>
      </c>
      <c r="X14" s="125">
        <f>C14*1000/((C14*1000/AF1)+X3)*3.6</f>
        <v>186.9918699186992</v>
      </c>
      <c r="Y14" s="125">
        <f>C14*1000/((C14*1000/AF1)+Y3)*3.6</f>
        <v>183.1858407079646</v>
      </c>
      <c r="Z14" s="127">
        <f>C14*1000/((C14*1000/AF1)+Z3)*3.6</f>
        <v>176.0204081632653</v>
      </c>
    </row>
    <row r="15" spans="2:26" s="70" customFormat="1" ht="19.5" customHeight="1">
      <c r="B15" s="118"/>
      <c r="C15" s="117">
        <v>27.5</v>
      </c>
      <c r="D15" s="124">
        <f>C15*1000/((C15*1000/AF1)-D3)*3.6</f>
        <v>318.90756302521004</v>
      </c>
      <c r="E15" s="125">
        <f>C15*1000/((C15*1000/AF1)-E3)*3.6</f>
        <v>299.6052631578947</v>
      </c>
      <c r="F15" s="125">
        <f>C15*1000/((C15*1000/AF1)-F3)*3.6</f>
        <v>290.8045977011494</v>
      </c>
      <c r="G15" s="125">
        <f>C15*1000/((C15*1000/AF1)-G3)*3.6</f>
        <v>282.5062034739454</v>
      </c>
      <c r="H15" s="125">
        <f>C15*1000/((C15*1000/AF1)-H3)*3.6</f>
        <v>274.6682750301568</v>
      </c>
      <c r="I15" s="125">
        <f>C15*1000/((C15*1000/AF1)-I3)*3.6</f>
        <v>267.2535211267605</v>
      </c>
      <c r="J15" s="125">
        <f>C15*1000/((C15*1000/AF1)-J3)*3.6</f>
        <v>260.2285714285714</v>
      </c>
      <c r="K15" s="125">
        <f>C15*1000/((C15*1000/AF1)-K3)*3.6</f>
        <v>253.5634743875278</v>
      </c>
      <c r="L15" s="125">
        <f>C15*1000/((C15*1000/AF1)-L3)*3.6</f>
        <v>247.2312703583062</v>
      </c>
      <c r="M15" s="125">
        <f>C15*1000/((C15*1000/AF1)-M3)*3.6</f>
        <v>241.20762711864407</v>
      </c>
      <c r="N15" s="125">
        <f>C15*1000/((C15*1000/AF1)-N3)*3.6</f>
        <v>235.4705274043433</v>
      </c>
      <c r="O15" s="126"/>
      <c r="P15" s="125">
        <f>C15*1000/((C15*1000/AF1)+P3)*3.6</f>
        <v>224.77788746298123</v>
      </c>
      <c r="Q15" s="125">
        <f>C15*1000/((C15*1000/AF1)+Q3)*3.6</f>
        <v>219.78764478764478</v>
      </c>
      <c r="R15" s="125">
        <f>C15*1000/((C15*1000/AF1)+R3)*3.6</f>
        <v>215.01416430594898</v>
      </c>
      <c r="S15" s="125">
        <f>C15*1000/((C15*1000/AF1)+S3)*3.6</f>
        <v>210.44362292051756</v>
      </c>
      <c r="T15" s="125">
        <f>C15*1000/((C15*1000/AF1)+T3)*3.6</f>
        <v>206.06334841628959</v>
      </c>
      <c r="U15" s="125">
        <f>C15*1000/((C15*1000/AF1)+U3)*3.6</f>
        <v>201.86170212765956</v>
      </c>
      <c r="V15" s="125">
        <f>C15*1000/((C15*1000/AF1)+V3)*3.6</f>
        <v>197.82797567332753</v>
      </c>
      <c r="W15" s="125">
        <f>C15*1000/((C15*1000/AF1)+W3)*3.6</f>
        <v>193.95229982964224</v>
      </c>
      <c r="X15" s="125">
        <f>C15*1000/((C15*1000/AF1)+X3)*3.6</f>
        <v>190.22556390977442</v>
      </c>
      <c r="Y15" s="125">
        <f>C15*1000/((C15*1000/AF1)+Y3)*3.6</f>
        <v>186.63934426229505</v>
      </c>
      <c r="Z15" s="127">
        <f>C15*1000/((C15*1000/AF1)+Z3)*3.6</f>
        <v>179.85781990521323</v>
      </c>
    </row>
    <row r="16" spans="2:26" s="70" customFormat="1" ht="19.5" customHeight="1">
      <c r="B16" s="118"/>
      <c r="C16" s="117">
        <v>30</v>
      </c>
      <c r="D16" s="129">
        <f>C16*1000/((C16*1000/AF1)-D3)*3.6</f>
        <v>308.95522388059703</v>
      </c>
      <c r="E16" s="130">
        <f>C16*1000/((C16*1000/AF1)-E3)*3.6</f>
        <v>292.2352941176471</v>
      </c>
      <c r="F16" s="130">
        <f>C16*1000/((C16*1000/AF1)-F3)*3.6</f>
        <v>284.53608247422676</v>
      </c>
      <c r="G16" s="130">
        <f>C16*1000/((C16*1000/AF1)-G3)*3.6</f>
        <v>277.23214285714283</v>
      </c>
      <c r="H16" s="130">
        <f>C16*1000/((C16*1000/AF1)-H3)*3.6</f>
        <v>270.29379760609356</v>
      </c>
      <c r="I16" s="130">
        <f>C16*1000/((C16*1000/AF1)-I3)*3.6</f>
        <v>263.6942675159235</v>
      </c>
      <c r="J16" s="130">
        <f>C16*1000/((C16*1000/AF1)-J3)*3.6</f>
        <v>257.40932642487047</v>
      </c>
      <c r="K16" s="130">
        <f>C16*1000/((C16*1000/AF1)-K3)*3.6</f>
        <v>251.41700404858298</v>
      </c>
      <c r="L16" s="130">
        <f>C16*1000/((C16*1000/AF1)-L3)*3.6</f>
        <v>245.6973293768546</v>
      </c>
      <c r="M16" s="130">
        <f>C16*1000/((C16*1000/AF1)-M3)*3.6</f>
        <v>240.23210831721468</v>
      </c>
      <c r="N16" s="130">
        <f>C16*1000/((C16*1000/AF1)-N3)*3.6</f>
        <v>235.00473036896875</v>
      </c>
      <c r="O16" s="131"/>
      <c r="P16" s="130">
        <f>C16*1000/((C16*1000/AF1)+P3)*3.6</f>
        <v>225.20398912058025</v>
      </c>
      <c r="Q16" s="130">
        <f>C16*1000/((C16*1000/AF1)+Q3)*3.6</f>
        <v>220.6039076376554</v>
      </c>
      <c r="R16" s="130">
        <f>C16*1000/((C16*1000/AF1)+R3)*3.6</f>
        <v>216.18798955613576</v>
      </c>
      <c r="S16" s="130">
        <f>C16*1000/((C16*1000/AF1)+S3)*3.6</f>
        <v>211.94539249146757</v>
      </c>
      <c r="T16" s="130">
        <f>C16*1000/((C16*1000/AF1)+T3)*3.6</f>
        <v>207.86610878661088</v>
      </c>
      <c r="U16" s="130">
        <f>C16*1000/((C16*1000/AF1)+U3)*3.6</f>
        <v>203.9408866995074</v>
      </c>
      <c r="V16" s="130">
        <f>C16*1000/((C16*1000/AF1)+V3)*3.6</f>
        <v>200.16116035455278</v>
      </c>
      <c r="W16" s="130">
        <f>C16*1000/((C16*1000/AF1)+W3)*3.6</f>
        <v>196.51898734177215</v>
      </c>
      <c r="X16" s="130">
        <f>C16*1000/((C16*1000/AF1)+X3)*3.6</f>
        <v>193.00699300699299</v>
      </c>
      <c r="Y16" s="130">
        <f>C16*1000/((C16*1000/AF1)+Y3)*3.6</f>
        <v>189.61832061068702</v>
      </c>
      <c r="Z16" s="132">
        <f>C16*1000/((C16*1000/AF1)+Z3)*3.6</f>
        <v>183.1858407079646</v>
      </c>
    </row>
    <row r="19" spans="3:13" ht="12.75" customHeight="1">
      <c r="C19" s="133" t="s">
        <v>113</v>
      </c>
      <c r="D19" s="133"/>
      <c r="E19" s="133"/>
      <c r="F19" s="133"/>
      <c r="G19" s="133"/>
      <c r="H19" s="133"/>
      <c r="I19" s="133"/>
      <c r="J19" s="133"/>
      <c r="K19" s="133"/>
      <c r="L19" s="133"/>
      <c r="M19" s="133"/>
    </row>
    <row r="20" spans="3:13" ht="12.75"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M20" s="133"/>
    </row>
    <row r="21" spans="3:13" ht="12.75">
      <c r="C21" s="133"/>
      <c r="D21" s="133"/>
      <c r="E21" s="133"/>
      <c r="F21" s="133"/>
      <c r="G21" s="133"/>
      <c r="H21" s="133"/>
      <c r="I21" s="133"/>
      <c r="J21" s="133"/>
      <c r="K21" s="133"/>
      <c r="L21" s="133"/>
      <c r="M21" s="133"/>
    </row>
    <row r="22" spans="3:13" ht="12.75"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</row>
    <row r="23" spans="3:13" ht="12.75"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</row>
  </sheetData>
  <sheetProtection selectLockedCells="1" selectUnlockedCells="1"/>
  <mergeCells count="5">
    <mergeCell ref="C1:Z1"/>
    <mergeCell ref="D2:N2"/>
    <mergeCell ref="P2:Z2"/>
    <mergeCell ref="B4:B16"/>
    <mergeCell ref="C19:M23"/>
  </mergeCells>
  <conditionalFormatting sqref="AF4:AF5">
    <cfRule type="cellIs" priority="1" dxfId="0" operator="greaterThan" stopIfTrue="1">
      <formula>300</formula>
    </cfRule>
  </conditionalFormatting>
  <conditionalFormatting sqref="D4:Z16">
    <cfRule type="cellIs" priority="2" dxfId="1" operator="greaterThan" stopIfTrue="1">
      <formula>306</formula>
    </cfRule>
    <cfRule type="cellIs" priority="3" dxfId="2" operator="between" stopIfTrue="1">
      <formula>255</formula>
      <formula>305</formula>
    </cfRule>
    <cfRule type="cellIs" priority="4" dxfId="1" operator="lessThan" stopIfTrue="1">
      <formula>0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1063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2013-05-14T12:26:04Z</dcterms:created>
  <dcterms:modified xsi:type="dcterms:W3CDTF">2013-05-24T07:20:42Z</dcterms:modified>
  <cp:category/>
  <cp:version/>
  <cp:contentType/>
  <cp:contentStatus/>
  <cp:revision>257</cp:revision>
</cp:coreProperties>
</file>